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ml.chartshapes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4.xml" ContentType="application/vnd.openxmlformats-officedocument.drawingml.chartshapes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charts/chart23.xml" ContentType="application/vnd.openxmlformats-officedocument.drawingml.chart+xml"/>
  <Override PartName="/xl/drawings/drawing17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ml.chartshapes+xml"/>
  <Override PartName="/xl/charts/chart29.xml" ContentType="application/vnd.openxmlformats-officedocument.drawingml.chart+xml"/>
  <Override PartName="/xl/drawings/drawing21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22.xml" ContentType="application/vnd.openxmlformats-officedocument.drawingml.chartshapes+xml"/>
  <Override PartName="/xl/charts/chart32.xml" ContentType="application/vnd.openxmlformats-officedocument.drawingml.chart+xml"/>
  <Override PartName="/xl/drawings/drawing23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4.xml" ContentType="application/vnd.openxmlformats-officedocument.drawingml.chartshapes+xml"/>
  <Override PartName="/xl/charts/chart35.xml" ContentType="application/vnd.openxmlformats-officedocument.drawingml.chart+xml"/>
  <Override PartName="/xl/drawings/drawing25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6.xml" ContentType="application/vnd.openxmlformats-officedocument.drawingml.chartshapes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codeName="ThisWorkbook" autoCompressPictures="0"/>
  <bookViews>
    <workbookView xWindow="0" yWindow="0" windowWidth="32700" windowHeight="20860"/>
  </bookViews>
  <sheets>
    <sheet name="MY STATS" sheetId="16" r:id="rId1"/>
    <sheet name="JAN" sheetId="4" r:id="rId2"/>
    <sheet name="FEB" sheetId="31" r:id="rId3"/>
    <sheet name="MAR" sheetId="32" r:id="rId4"/>
    <sheet name="APR" sheetId="33" r:id="rId5"/>
    <sheet name="MAY" sheetId="34" r:id="rId6"/>
    <sheet name="JUN" sheetId="35" r:id="rId7"/>
    <sheet name="JUL" sheetId="36" r:id="rId8"/>
    <sheet name="AUG" sheetId="37" r:id="rId9"/>
    <sheet name="SEP" sheetId="38" r:id="rId10"/>
    <sheet name="Sheet1" sheetId="30" state="hidden" r:id="rId11"/>
    <sheet name="OCT" sheetId="39" r:id="rId12"/>
    <sheet name="NOV" sheetId="40" r:id="rId13"/>
    <sheet name="DEC" sheetId="41" r:id="rId14"/>
  </sheets>
  <calcPr calcId="140001" iterate="1" iterateDelta="0.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V58" i="35" l="1"/>
  <c r="V58" i="38"/>
  <c r="BG30" i="16"/>
  <c r="U58" i="35"/>
  <c r="U58" i="38"/>
  <c r="BF30" i="16"/>
  <c r="T58" i="35"/>
  <c r="T58" i="38"/>
  <c r="BE30" i="16"/>
  <c r="S58" i="35"/>
  <c r="S58" i="38"/>
  <c r="BD30" i="16"/>
  <c r="R58" i="35"/>
  <c r="R58" i="38"/>
  <c r="BC30" i="16"/>
  <c r="Q58" i="35"/>
  <c r="Q58" i="38"/>
  <c r="BB30" i="16"/>
  <c r="P58" i="35"/>
  <c r="P58" i="38"/>
  <c r="BA30" i="16"/>
  <c r="V57" i="35"/>
  <c r="V57" i="38"/>
  <c r="BG29" i="16"/>
  <c r="U57" i="35"/>
  <c r="U57" i="38"/>
  <c r="BF29" i="16"/>
  <c r="T57" i="35"/>
  <c r="T57" i="38"/>
  <c r="BE29" i="16"/>
  <c r="R35" i="35"/>
  <c r="S35" i="35"/>
  <c r="S57" i="35"/>
  <c r="S57" i="38"/>
  <c r="BD29" i="16"/>
  <c r="R57" i="35"/>
  <c r="R57" i="38"/>
  <c r="BC29" i="16"/>
  <c r="Q57" i="35"/>
  <c r="R33" i="38"/>
  <c r="S33" i="38"/>
  <c r="Q57" i="38"/>
  <c r="BB29" i="16"/>
  <c r="P57" i="35"/>
  <c r="P57" i="38"/>
  <c r="BA29" i="16"/>
  <c r="D46" i="16"/>
  <c r="D47" i="16"/>
  <c r="D29" i="16"/>
  <c r="D30" i="16"/>
  <c r="F30" i="16"/>
  <c r="D31" i="16"/>
  <c r="D32" i="16"/>
  <c r="D33" i="16"/>
  <c r="D34" i="16"/>
  <c r="D35" i="16"/>
  <c r="D36" i="16"/>
  <c r="D37" i="16"/>
  <c r="D38" i="16"/>
  <c r="D39" i="16"/>
  <c r="D40" i="16"/>
  <c r="B2" i="41"/>
  <c r="D50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3" i="41"/>
  <c r="C5" i="41"/>
  <c r="B5" i="41"/>
  <c r="Z5" i="41"/>
  <c r="Z6" i="41"/>
  <c r="Z7" i="41"/>
  <c r="Z8" i="41"/>
  <c r="Z9" i="41"/>
  <c r="Z10" i="41"/>
  <c r="Z11" i="41"/>
  <c r="Y5" i="41"/>
  <c r="Y6" i="41"/>
  <c r="Y7" i="41"/>
  <c r="Y8" i="41"/>
  <c r="Y9" i="41"/>
  <c r="Y10" i="41"/>
  <c r="Y11" i="41"/>
  <c r="X5" i="41"/>
  <c r="X6" i="41"/>
  <c r="X7" i="41"/>
  <c r="X8" i="41"/>
  <c r="X9" i="41"/>
  <c r="X10" i="41"/>
  <c r="X11" i="41"/>
  <c r="AA11" i="41"/>
  <c r="H12" i="41"/>
  <c r="E5" i="16"/>
  <c r="G12" i="41"/>
  <c r="F12" i="41"/>
  <c r="N40" i="16"/>
  <c r="C11" i="41"/>
  <c r="C14" i="41"/>
  <c r="B14" i="41"/>
  <c r="H21" i="41"/>
  <c r="G21" i="41"/>
  <c r="F21" i="41"/>
  <c r="O40" i="16"/>
  <c r="C15" i="41"/>
  <c r="C16" i="41"/>
  <c r="C17" i="41"/>
  <c r="C18" i="41"/>
  <c r="C19" i="41"/>
  <c r="C20" i="41"/>
  <c r="C23" i="41"/>
  <c r="B23" i="41"/>
  <c r="H30" i="41"/>
  <c r="G30" i="41"/>
  <c r="F30" i="41"/>
  <c r="P40" i="16"/>
  <c r="C24" i="41"/>
  <c r="C25" i="41"/>
  <c r="C26" i="41"/>
  <c r="C27" i="41"/>
  <c r="C28" i="41"/>
  <c r="C29" i="41"/>
  <c r="C32" i="41"/>
  <c r="B32" i="41"/>
  <c r="H39" i="41"/>
  <c r="G39" i="41"/>
  <c r="F39" i="41"/>
  <c r="Q40" i="16"/>
  <c r="D41" i="16"/>
  <c r="B3" i="41"/>
  <c r="C33" i="41"/>
  <c r="C34" i="41"/>
  <c r="C35" i="41"/>
  <c r="C36" i="41"/>
  <c r="C37" i="41"/>
  <c r="C38" i="41"/>
  <c r="C41" i="41"/>
  <c r="B41" i="41"/>
  <c r="C42" i="41"/>
  <c r="B42" i="41"/>
  <c r="C43" i="41"/>
  <c r="B43" i="41"/>
  <c r="C44" i="41"/>
  <c r="B44" i="41"/>
  <c r="C45" i="41"/>
  <c r="B45" i="41"/>
  <c r="C46" i="41"/>
  <c r="B46" i="41"/>
  <c r="C47" i="41"/>
  <c r="B47" i="41"/>
  <c r="H48" i="41"/>
  <c r="G48" i="41"/>
  <c r="F48" i="41"/>
  <c r="R40" i="16"/>
  <c r="C50" i="41"/>
  <c r="B50" i="41"/>
  <c r="C51" i="41"/>
  <c r="B51" i="41"/>
  <c r="H52" i="41"/>
  <c r="Z5" i="4"/>
  <c r="Z6" i="4"/>
  <c r="Z7" i="4"/>
  <c r="Z8" i="4"/>
  <c r="Z9" i="4"/>
  <c r="Z10" i="4"/>
  <c r="Z11" i="4"/>
  <c r="Z14" i="4"/>
  <c r="Z15" i="4"/>
  <c r="Z16" i="4"/>
  <c r="Z17" i="4"/>
  <c r="Z18" i="4"/>
  <c r="Z19" i="4"/>
  <c r="Z20" i="4"/>
  <c r="Z23" i="4"/>
  <c r="Z24" i="4"/>
  <c r="Z25" i="4"/>
  <c r="Z26" i="4"/>
  <c r="Z27" i="4"/>
  <c r="Z28" i="4"/>
  <c r="Z29" i="4"/>
  <c r="Z32" i="4"/>
  <c r="Z33" i="4"/>
  <c r="Z34" i="4"/>
  <c r="Z35" i="4"/>
  <c r="Z36" i="4"/>
  <c r="Z37" i="4"/>
  <c r="Z38" i="4"/>
  <c r="Z41" i="4"/>
  <c r="Z42" i="4"/>
  <c r="Z43" i="4"/>
  <c r="Z44" i="4"/>
  <c r="Z45" i="4"/>
  <c r="Z46" i="4"/>
  <c r="Z47" i="4"/>
  <c r="Z50" i="4"/>
  <c r="Z51" i="4"/>
  <c r="Y5" i="4"/>
  <c r="Y6" i="4"/>
  <c r="Y7" i="4"/>
  <c r="Y8" i="4"/>
  <c r="Y9" i="4"/>
  <c r="Y10" i="4"/>
  <c r="Y11" i="4"/>
  <c r="Y14" i="4"/>
  <c r="Y15" i="4"/>
  <c r="Y16" i="4"/>
  <c r="Y17" i="4"/>
  <c r="Y18" i="4"/>
  <c r="Y19" i="4"/>
  <c r="Y20" i="4"/>
  <c r="Y23" i="4"/>
  <c r="Y24" i="4"/>
  <c r="Y25" i="4"/>
  <c r="Y26" i="4"/>
  <c r="Y27" i="4"/>
  <c r="Y28" i="4"/>
  <c r="Y29" i="4"/>
  <c r="Y32" i="4"/>
  <c r="Y33" i="4"/>
  <c r="Y34" i="4"/>
  <c r="Y35" i="4"/>
  <c r="Y36" i="4"/>
  <c r="Y37" i="4"/>
  <c r="Y38" i="4"/>
  <c r="Y41" i="4"/>
  <c r="Y42" i="4"/>
  <c r="Y43" i="4"/>
  <c r="Y44" i="4"/>
  <c r="Y45" i="4"/>
  <c r="Y46" i="4"/>
  <c r="Y47" i="4"/>
  <c r="Y50" i="4"/>
  <c r="Y51" i="4"/>
  <c r="X5" i="4"/>
  <c r="X6" i="4"/>
  <c r="X7" i="4"/>
  <c r="X8" i="4"/>
  <c r="X9" i="4"/>
  <c r="X10" i="4"/>
  <c r="X11" i="4"/>
  <c r="X14" i="4"/>
  <c r="X15" i="4"/>
  <c r="X16" i="4"/>
  <c r="X17" i="4"/>
  <c r="X18" i="4"/>
  <c r="X19" i="4"/>
  <c r="X20" i="4"/>
  <c r="X23" i="4"/>
  <c r="X24" i="4"/>
  <c r="X25" i="4"/>
  <c r="X26" i="4"/>
  <c r="X27" i="4"/>
  <c r="X28" i="4"/>
  <c r="X29" i="4"/>
  <c r="X32" i="4"/>
  <c r="X33" i="4"/>
  <c r="X34" i="4"/>
  <c r="X35" i="4"/>
  <c r="X36" i="4"/>
  <c r="X37" i="4"/>
  <c r="X38" i="4"/>
  <c r="X41" i="4"/>
  <c r="X42" i="4"/>
  <c r="X43" i="4"/>
  <c r="X44" i="4"/>
  <c r="X45" i="4"/>
  <c r="X46" i="4"/>
  <c r="X47" i="4"/>
  <c r="X50" i="4"/>
  <c r="X51" i="4"/>
  <c r="AA51" i="4"/>
  <c r="H55" i="4"/>
  <c r="I29" i="16"/>
  <c r="J29" i="16"/>
  <c r="Z5" i="31"/>
  <c r="Z6" i="31"/>
  <c r="Z7" i="31"/>
  <c r="Z8" i="31"/>
  <c r="Z9" i="31"/>
  <c r="Z10" i="31"/>
  <c r="Z11" i="31"/>
  <c r="Z14" i="31"/>
  <c r="Z15" i="31"/>
  <c r="Z16" i="31"/>
  <c r="Z17" i="31"/>
  <c r="Z18" i="31"/>
  <c r="Z19" i="31"/>
  <c r="Z20" i="31"/>
  <c r="Z23" i="31"/>
  <c r="Z24" i="31"/>
  <c r="Z25" i="31"/>
  <c r="Z26" i="31"/>
  <c r="Z27" i="31"/>
  <c r="Z28" i="31"/>
  <c r="Z29" i="31"/>
  <c r="Z32" i="31"/>
  <c r="Z33" i="31"/>
  <c r="Z34" i="31"/>
  <c r="Z35" i="31"/>
  <c r="Z36" i="31"/>
  <c r="Z37" i="31"/>
  <c r="Z38" i="31"/>
  <c r="Z41" i="31"/>
  <c r="Z42" i="31"/>
  <c r="Z43" i="31"/>
  <c r="Z44" i="31"/>
  <c r="Z45" i="31"/>
  <c r="Z46" i="31"/>
  <c r="Z47" i="31"/>
  <c r="Z50" i="31"/>
  <c r="Z51" i="31"/>
  <c r="Y5" i="31"/>
  <c r="Y6" i="31"/>
  <c r="Y7" i="31"/>
  <c r="Y8" i="31"/>
  <c r="Y9" i="31"/>
  <c r="Y10" i="31"/>
  <c r="Y11" i="31"/>
  <c r="Y14" i="31"/>
  <c r="Y15" i="31"/>
  <c r="Y16" i="31"/>
  <c r="Y17" i="31"/>
  <c r="Y18" i="31"/>
  <c r="Y19" i="31"/>
  <c r="Y20" i="31"/>
  <c r="Y23" i="31"/>
  <c r="Y24" i="31"/>
  <c r="Y25" i="31"/>
  <c r="Y26" i="31"/>
  <c r="Y27" i="31"/>
  <c r="Y28" i="31"/>
  <c r="Y29" i="31"/>
  <c r="Y32" i="31"/>
  <c r="Y33" i="31"/>
  <c r="Y34" i="31"/>
  <c r="Y35" i="31"/>
  <c r="Y36" i="31"/>
  <c r="Y37" i="31"/>
  <c r="Y38" i="31"/>
  <c r="Y41" i="31"/>
  <c r="Y42" i="31"/>
  <c r="Y43" i="31"/>
  <c r="Y44" i="31"/>
  <c r="Y45" i="31"/>
  <c r="Y46" i="31"/>
  <c r="Y47" i="31"/>
  <c r="Y50" i="31"/>
  <c r="Y51" i="31"/>
  <c r="X5" i="31"/>
  <c r="X6" i="31"/>
  <c r="X7" i="31"/>
  <c r="X8" i="31"/>
  <c r="X9" i="31"/>
  <c r="X10" i="31"/>
  <c r="X11" i="31"/>
  <c r="X14" i="31"/>
  <c r="X15" i="31"/>
  <c r="X16" i="31"/>
  <c r="X17" i="31"/>
  <c r="X18" i="31"/>
  <c r="X19" i="31"/>
  <c r="X20" i="31"/>
  <c r="X23" i="31"/>
  <c r="X24" i="31"/>
  <c r="X25" i="31"/>
  <c r="X26" i="31"/>
  <c r="X27" i="31"/>
  <c r="X28" i="31"/>
  <c r="X29" i="31"/>
  <c r="X32" i="31"/>
  <c r="X33" i="31"/>
  <c r="X34" i="31"/>
  <c r="X35" i="31"/>
  <c r="X36" i="31"/>
  <c r="X37" i="31"/>
  <c r="X38" i="31"/>
  <c r="X41" i="31"/>
  <c r="X42" i="31"/>
  <c r="X43" i="31"/>
  <c r="X44" i="31"/>
  <c r="X45" i="31"/>
  <c r="X46" i="31"/>
  <c r="X47" i="31"/>
  <c r="X50" i="31"/>
  <c r="X51" i="31"/>
  <c r="AA51" i="31"/>
  <c r="H55" i="31"/>
  <c r="I30" i="16"/>
  <c r="J30" i="16"/>
  <c r="Z5" i="32"/>
  <c r="Z6" i="32"/>
  <c r="Z7" i="32"/>
  <c r="Z8" i="32"/>
  <c r="Z9" i="32"/>
  <c r="Z10" i="32"/>
  <c r="Z11" i="32"/>
  <c r="Z14" i="32"/>
  <c r="Z15" i="32"/>
  <c r="Z16" i="32"/>
  <c r="Z17" i="32"/>
  <c r="Z18" i="32"/>
  <c r="Z19" i="32"/>
  <c r="Z20" i="32"/>
  <c r="Z23" i="32"/>
  <c r="Z24" i="32"/>
  <c r="Z25" i="32"/>
  <c r="Z26" i="32"/>
  <c r="Z27" i="32"/>
  <c r="Z28" i="32"/>
  <c r="Z29" i="32"/>
  <c r="Z32" i="32"/>
  <c r="Z33" i="32"/>
  <c r="Z34" i="32"/>
  <c r="Z35" i="32"/>
  <c r="Z36" i="32"/>
  <c r="Z37" i="32"/>
  <c r="Z38" i="32"/>
  <c r="Z41" i="32"/>
  <c r="Z42" i="32"/>
  <c r="Z43" i="32"/>
  <c r="Z44" i="32"/>
  <c r="Z45" i="32"/>
  <c r="Z46" i="32"/>
  <c r="Z47" i="32"/>
  <c r="Z50" i="32"/>
  <c r="Z51" i="32"/>
  <c r="Y5" i="32"/>
  <c r="Y6" i="32"/>
  <c r="Y7" i="32"/>
  <c r="Y8" i="32"/>
  <c r="Y9" i="32"/>
  <c r="Y10" i="32"/>
  <c r="Y11" i="32"/>
  <c r="Y14" i="32"/>
  <c r="Y15" i="32"/>
  <c r="Y16" i="32"/>
  <c r="Y17" i="32"/>
  <c r="Y18" i="32"/>
  <c r="Y19" i="32"/>
  <c r="Y20" i="32"/>
  <c r="Y23" i="32"/>
  <c r="Y24" i="32"/>
  <c r="Y25" i="32"/>
  <c r="Y26" i="32"/>
  <c r="Y27" i="32"/>
  <c r="Y28" i="32"/>
  <c r="Y29" i="32"/>
  <c r="Y32" i="32"/>
  <c r="Y33" i="32"/>
  <c r="Y34" i="32"/>
  <c r="Y35" i="32"/>
  <c r="Y36" i="32"/>
  <c r="Y37" i="32"/>
  <c r="Y38" i="32"/>
  <c r="Y41" i="32"/>
  <c r="Y42" i="32"/>
  <c r="Y43" i="32"/>
  <c r="Y44" i="32"/>
  <c r="Y45" i="32"/>
  <c r="Y46" i="32"/>
  <c r="Y47" i="32"/>
  <c r="Y50" i="32"/>
  <c r="Y51" i="32"/>
  <c r="X5" i="32"/>
  <c r="X6" i="32"/>
  <c r="X7" i="32"/>
  <c r="X8" i="32"/>
  <c r="X9" i="32"/>
  <c r="X10" i="32"/>
  <c r="X11" i="32"/>
  <c r="X14" i="32"/>
  <c r="X15" i="32"/>
  <c r="X16" i="32"/>
  <c r="X17" i="32"/>
  <c r="X18" i="32"/>
  <c r="X19" i="32"/>
  <c r="X20" i="32"/>
  <c r="X23" i="32"/>
  <c r="X24" i="32"/>
  <c r="X25" i="32"/>
  <c r="X26" i="32"/>
  <c r="X27" i="32"/>
  <c r="X28" i="32"/>
  <c r="X29" i="32"/>
  <c r="X32" i="32"/>
  <c r="X33" i="32"/>
  <c r="X34" i="32"/>
  <c r="X35" i="32"/>
  <c r="X36" i="32"/>
  <c r="X37" i="32"/>
  <c r="X38" i="32"/>
  <c r="X41" i="32"/>
  <c r="X42" i="32"/>
  <c r="X43" i="32"/>
  <c r="X44" i="32"/>
  <c r="X45" i="32"/>
  <c r="X46" i="32"/>
  <c r="X47" i="32"/>
  <c r="X50" i="32"/>
  <c r="X51" i="32"/>
  <c r="AA51" i="32"/>
  <c r="H55" i="32"/>
  <c r="I31" i="16"/>
  <c r="J31" i="16"/>
  <c r="Z5" i="33"/>
  <c r="Z6" i="33"/>
  <c r="Z7" i="33"/>
  <c r="Z8" i="33"/>
  <c r="Z9" i="33"/>
  <c r="Z10" i="33"/>
  <c r="Z11" i="33"/>
  <c r="Z14" i="33"/>
  <c r="Z15" i="33"/>
  <c r="Z16" i="33"/>
  <c r="Z17" i="33"/>
  <c r="Z18" i="33"/>
  <c r="Z19" i="33"/>
  <c r="Z20" i="33"/>
  <c r="Z23" i="33"/>
  <c r="Z24" i="33"/>
  <c r="Z25" i="33"/>
  <c r="Z26" i="33"/>
  <c r="Z27" i="33"/>
  <c r="Z28" i="33"/>
  <c r="Z29" i="33"/>
  <c r="Z32" i="33"/>
  <c r="Z33" i="33"/>
  <c r="Z34" i="33"/>
  <c r="Z35" i="33"/>
  <c r="Z36" i="33"/>
  <c r="Z37" i="33"/>
  <c r="Z38" i="33"/>
  <c r="Z41" i="33"/>
  <c r="Z42" i="33"/>
  <c r="Z43" i="33"/>
  <c r="Z44" i="33"/>
  <c r="Z45" i="33"/>
  <c r="Z46" i="33"/>
  <c r="Z47" i="33"/>
  <c r="Z50" i="33"/>
  <c r="Z51" i="33"/>
  <c r="Y5" i="33"/>
  <c r="Y6" i="33"/>
  <c r="Y7" i="33"/>
  <c r="Y8" i="33"/>
  <c r="Y9" i="33"/>
  <c r="Y10" i="33"/>
  <c r="Y11" i="33"/>
  <c r="Y14" i="33"/>
  <c r="Y15" i="33"/>
  <c r="Y16" i="33"/>
  <c r="Y17" i="33"/>
  <c r="Y18" i="33"/>
  <c r="Y19" i="33"/>
  <c r="Y20" i="33"/>
  <c r="Y23" i="33"/>
  <c r="Y24" i="33"/>
  <c r="Y25" i="33"/>
  <c r="Y26" i="33"/>
  <c r="Y27" i="33"/>
  <c r="Y28" i="33"/>
  <c r="Y29" i="33"/>
  <c r="Y32" i="33"/>
  <c r="Y33" i="33"/>
  <c r="Y34" i="33"/>
  <c r="Y35" i="33"/>
  <c r="Y36" i="33"/>
  <c r="Y37" i="33"/>
  <c r="Y38" i="33"/>
  <c r="Y41" i="33"/>
  <c r="Y42" i="33"/>
  <c r="Y43" i="33"/>
  <c r="Y44" i="33"/>
  <c r="Y45" i="33"/>
  <c r="Y46" i="33"/>
  <c r="Y47" i="33"/>
  <c r="Y50" i="33"/>
  <c r="Y51" i="33"/>
  <c r="X5" i="33"/>
  <c r="X6" i="33"/>
  <c r="X7" i="33"/>
  <c r="X8" i="33"/>
  <c r="X9" i="33"/>
  <c r="X10" i="33"/>
  <c r="X11" i="33"/>
  <c r="X14" i="33"/>
  <c r="X15" i="33"/>
  <c r="X16" i="33"/>
  <c r="X17" i="33"/>
  <c r="X18" i="33"/>
  <c r="X19" i="33"/>
  <c r="X20" i="33"/>
  <c r="X23" i="33"/>
  <c r="X24" i="33"/>
  <c r="X25" i="33"/>
  <c r="X26" i="33"/>
  <c r="X27" i="33"/>
  <c r="X28" i="33"/>
  <c r="X29" i="33"/>
  <c r="X32" i="33"/>
  <c r="X33" i="33"/>
  <c r="X34" i="33"/>
  <c r="X35" i="33"/>
  <c r="X36" i="33"/>
  <c r="X37" i="33"/>
  <c r="X38" i="33"/>
  <c r="X41" i="33"/>
  <c r="X42" i="33"/>
  <c r="X43" i="33"/>
  <c r="X44" i="33"/>
  <c r="X45" i="33"/>
  <c r="X46" i="33"/>
  <c r="X47" i="33"/>
  <c r="X50" i="33"/>
  <c r="X51" i="33"/>
  <c r="AA51" i="33"/>
  <c r="H55" i="33"/>
  <c r="I32" i="16"/>
  <c r="J32" i="16"/>
  <c r="Z5" i="34"/>
  <c r="Z6" i="34"/>
  <c r="Z7" i="34"/>
  <c r="Z8" i="34"/>
  <c r="Z9" i="34"/>
  <c r="Z10" i="34"/>
  <c r="Z11" i="34"/>
  <c r="Z14" i="34"/>
  <c r="Z15" i="34"/>
  <c r="Z16" i="34"/>
  <c r="Z17" i="34"/>
  <c r="Z18" i="34"/>
  <c r="Z19" i="34"/>
  <c r="Z20" i="34"/>
  <c r="Z23" i="34"/>
  <c r="Z24" i="34"/>
  <c r="Z25" i="34"/>
  <c r="Z26" i="34"/>
  <c r="Z27" i="34"/>
  <c r="Z28" i="34"/>
  <c r="Z29" i="34"/>
  <c r="Z32" i="34"/>
  <c r="Z33" i="34"/>
  <c r="Z34" i="34"/>
  <c r="Z35" i="34"/>
  <c r="Z36" i="34"/>
  <c r="Z37" i="34"/>
  <c r="Z38" i="34"/>
  <c r="Z41" i="34"/>
  <c r="Z42" i="34"/>
  <c r="Z43" i="34"/>
  <c r="Z44" i="34"/>
  <c r="Z45" i="34"/>
  <c r="Z46" i="34"/>
  <c r="Z47" i="34"/>
  <c r="Z50" i="34"/>
  <c r="Z51" i="34"/>
  <c r="Y5" i="34"/>
  <c r="Y6" i="34"/>
  <c r="Y7" i="34"/>
  <c r="Y8" i="34"/>
  <c r="Y9" i="34"/>
  <c r="Y10" i="34"/>
  <c r="Y11" i="34"/>
  <c r="Y14" i="34"/>
  <c r="Y15" i="34"/>
  <c r="Y16" i="34"/>
  <c r="Y17" i="34"/>
  <c r="Y18" i="34"/>
  <c r="Y19" i="34"/>
  <c r="Y20" i="34"/>
  <c r="Y23" i="34"/>
  <c r="Y24" i="34"/>
  <c r="Y25" i="34"/>
  <c r="Y26" i="34"/>
  <c r="Y27" i="34"/>
  <c r="Y28" i="34"/>
  <c r="Y29" i="34"/>
  <c r="Y32" i="34"/>
  <c r="Y33" i="34"/>
  <c r="Y34" i="34"/>
  <c r="Y35" i="34"/>
  <c r="Y36" i="34"/>
  <c r="Y37" i="34"/>
  <c r="Y38" i="34"/>
  <c r="Y41" i="34"/>
  <c r="Y42" i="34"/>
  <c r="Y43" i="34"/>
  <c r="Y44" i="34"/>
  <c r="Y45" i="34"/>
  <c r="Y46" i="34"/>
  <c r="Y47" i="34"/>
  <c r="Y50" i="34"/>
  <c r="Y51" i="34"/>
  <c r="X5" i="34"/>
  <c r="X6" i="34"/>
  <c r="X7" i="34"/>
  <c r="X8" i="34"/>
  <c r="X9" i="34"/>
  <c r="X10" i="34"/>
  <c r="X11" i="34"/>
  <c r="X14" i="34"/>
  <c r="X15" i="34"/>
  <c r="X16" i="34"/>
  <c r="X17" i="34"/>
  <c r="X18" i="34"/>
  <c r="X19" i="34"/>
  <c r="X20" i="34"/>
  <c r="X23" i="34"/>
  <c r="X24" i="34"/>
  <c r="X25" i="34"/>
  <c r="X26" i="34"/>
  <c r="X27" i="34"/>
  <c r="X28" i="34"/>
  <c r="X29" i="34"/>
  <c r="X32" i="34"/>
  <c r="X33" i="34"/>
  <c r="X34" i="34"/>
  <c r="X35" i="34"/>
  <c r="X36" i="34"/>
  <c r="X37" i="34"/>
  <c r="X38" i="34"/>
  <c r="X41" i="34"/>
  <c r="X42" i="34"/>
  <c r="X43" i="34"/>
  <c r="X44" i="34"/>
  <c r="X45" i="34"/>
  <c r="X46" i="34"/>
  <c r="X47" i="34"/>
  <c r="X50" i="34"/>
  <c r="X51" i="34"/>
  <c r="AA51" i="34"/>
  <c r="H55" i="34"/>
  <c r="I33" i="16"/>
  <c r="J33" i="16"/>
  <c r="Z5" i="35"/>
  <c r="Z6" i="35"/>
  <c r="Z7" i="35"/>
  <c r="Z8" i="35"/>
  <c r="Z9" i="35"/>
  <c r="Z10" i="35"/>
  <c r="Z11" i="35"/>
  <c r="Z14" i="35"/>
  <c r="Z15" i="35"/>
  <c r="Z16" i="35"/>
  <c r="Z17" i="35"/>
  <c r="Z18" i="35"/>
  <c r="Z19" i="35"/>
  <c r="Z20" i="35"/>
  <c r="Z23" i="35"/>
  <c r="Z24" i="35"/>
  <c r="Z25" i="35"/>
  <c r="Z26" i="35"/>
  <c r="Z27" i="35"/>
  <c r="Z28" i="35"/>
  <c r="Z29" i="35"/>
  <c r="Z32" i="35"/>
  <c r="Z33" i="35"/>
  <c r="Z34" i="35"/>
  <c r="Z35" i="35"/>
  <c r="Z36" i="35"/>
  <c r="Z37" i="35"/>
  <c r="Z38" i="35"/>
  <c r="Z41" i="35"/>
  <c r="Z42" i="35"/>
  <c r="Z43" i="35"/>
  <c r="Z44" i="35"/>
  <c r="Z45" i="35"/>
  <c r="Z46" i="35"/>
  <c r="Z47" i="35"/>
  <c r="Z50" i="35"/>
  <c r="Z51" i="35"/>
  <c r="Y5" i="35"/>
  <c r="Y6" i="35"/>
  <c r="Y7" i="35"/>
  <c r="Y8" i="35"/>
  <c r="Y9" i="35"/>
  <c r="Y10" i="35"/>
  <c r="Y11" i="35"/>
  <c r="Y14" i="35"/>
  <c r="Y15" i="35"/>
  <c r="Y16" i="35"/>
  <c r="Y17" i="35"/>
  <c r="Y18" i="35"/>
  <c r="Y19" i="35"/>
  <c r="Y20" i="35"/>
  <c r="Y23" i="35"/>
  <c r="Y24" i="35"/>
  <c r="Y25" i="35"/>
  <c r="Y26" i="35"/>
  <c r="Y27" i="35"/>
  <c r="Y28" i="35"/>
  <c r="Y29" i="35"/>
  <c r="Y32" i="35"/>
  <c r="Y33" i="35"/>
  <c r="Y34" i="35"/>
  <c r="Y35" i="35"/>
  <c r="Y36" i="35"/>
  <c r="Y37" i="35"/>
  <c r="Y38" i="35"/>
  <c r="Y41" i="35"/>
  <c r="Y42" i="35"/>
  <c r="Y43" i="35"/>
  <c r="Y44" i="35"/>
  <c r="Y45" i="35"/>
  <c r="Y46" i="35"/>
  <c r="Y47" i="35"/>
  <c r="Y50" i="35"/>
  <c r="Y51" i="35"/>
  <c r="X5" i="35"/>
  <c r="X6" i="35"/>
  <c r="X7" i="35"/>
  <c r="X8" i="35"/>
  <c r="X9" i="35"/>
  <c r="X10" i="35"/>
  <c r="X11" i="35"/>
  <c r="X14" i="35"/>
  <c r="X15" i="35"/>
  <c r="X16" i="35"/>
  <c r="X17" i="35"/>
  <c r="X18" i="35"/>
  <c r="X19" i="35"/>
  <c r="X20" i="35"/>
  <c r="X23" i="35"/>
  <c r="X24" i="35"/>
  <c r="X25" i="35"/>
  <c r="X26" i="35"/>
  <c r="X27" i="35"/>
  <c r="X28" i="35"/>
  <c r="X29" i="35"/>
  <c r="X32" i="35"/>
  <c r="X33" i="35"/>
  <c r="X34" i="35"/>
  <c r="X35" i="35"/>
  <c r="X36" i="35"/>
  <c r="X37" i="35"/>
  <c r="X38" i="35"/>
  <c r="X41" i="35"/>
  <c r="X42" i="35"/>
  <c r="X43" i="35"/>
  <c r="X44" i="35"/>
  <c r="X45" i="35"/>
  <c r="X46" i="35"/>
  <c r="X47" i="35"/>
  <c r="X50" i="35"/>
  <c r="X51" i="35"/>
  <c r="AA51" i="35"/>
  <c r="H55" i="35"/>
  <c r="I34" i="16"/>
  <c r="J34" i="16"/>
  <c r="Z5" i="36"/>
  <c r="Z6" i="36"/>
  <c r="Z7" i="36"/>
  <c r="Z8" i="36"/>
  <c r="Z9" i="36"/>
  <c r="Z10" i="36"/>
  <c r="Z11" i="36"/>
  <c r="Z14" i="36"/>
  <c r="Z15" i="36"/>
  <c r="Z16" i="36"/>
  <c r="Z17" i="36"/>
  <c r="Z18" i="36"/>
  <c r="Z19" i="36"/>
  <c r="Z20" i="36"/>
  <c r="Z23" i="36"/>
  <c r="Z24" i="36"/>
  <c r="Z25" i="36"/>
  <c r="Z26" i="36"/>
  <c r="Z27" i="36"/>
  <c r="Z28" i="36"/>
  <c r="Z29" i="36"/>
  <c r="Z32" i="36"/>
  <c r="Z33" i="36"/>
  <c r="Z34" i="36"/>
  <c r="Z35" i="36"/>
  <c r="Z36" i="36"/>
  <c r="Z37" i="36"/>
  <c r="Z38" i="36"/>
  <c r="Z41" i="36"/>
  <c r="Z42" i="36"/>
  <c r="Z43" i="36"/>
  <c r="Z44" i="36"/>
  <c r="Z45" i="36"/>
  <c r="Z46" i="36"/>
  <c r="Z47" i="36"/>
  <c r="Z50" i="36"/>
  <c r="Z51" i="36"/>
  <c r="Y5" i="36"/>
  <c r="Y6" i="36"/>
  <c r="Y7" i="36"/>
  <c r="Y8" i="36"/>
  <c r="Y9" i="36"/>
  <c r="Y10" i="36"/>
  <c r="Y11" i="36"/>
  <c r="Y14" i="36"/>
  <c r="Y15" i="36"/>
  <c r="Y16" i="36"/>
  <c r="Y17" i="36"/>
  <c r="Y18" i="36"/>
  <c r="Y19" i="36"/>
  <c r="Y20" i="36"/>
  <c r="Y23" i="36"/>
  <c r="Y24" i="36"/>
  <c r="Y25" i="36"/>
  <c r="Y26" i="36"/>
  <c r="Y27" i="36"/>
  <c r="Y28" i="36"/>
  <c r="Y29" i="36"/>
  <c r="Y32" i="36"/>
  <c r="Y33" i="36"/>
  <c r="Y34" i="36"/>
  <c r="Y35" i="36"/>
  <c r="Y36" i="36"/>
  <c r="Y37" i="36"/>
  <c r="Y38" i="36"/>
  <c r="Y41" i="36"/>
  <c r="Y42" i="36"/>
  <c r="Y43" i="36"/>
  <c r="Y44" i="36"/>
  <c r="Y45" i="36"/>
  <c r="Y46" i="36"/>
  <c r="Y47" i="36"/>
  <c r="Y50" i="36"/>
  <c r="Y51" i="36"/>
  <c r="X5" i="36"/>
  <c r="X6" i="36"/>
  <c r="X7" i="36"/>
  <c r="X8" i="36"/>
  <c r="X9" i="36"/>
  <c r="X10" i="36"/>
  <c r="X11" i="36"/>
  <c r="X14" i="36"/>
  <c r="X15" i="36"/>
  <c r="X16" i="36"/>
  <c r="X17" i="36"/>
  <c r="X18" i="36"/>
  <c r="X19" i="36"/>
  <c r="X20" i="36"/>
  <c r="X23" i="36"/>
  <c r="X24" i="36"/>
  <c r="X25" i="36"/>
  <c r="X26" i="36"/>
  <c r="X27" i="36"/>
  <c r="X28" i="36"/>
  <c r="X29" i="36"/>
  <c r="X32" i="36"/>
  <c r="X33" i="36"/>
  <c r="X34" i="36"/>
  <c r="X35" i="36"/>
  <c r="X36" i="36"/>
  <c r="X37" i="36"/>
  <c r="X38" i="36"/>
  <c r="X41" i="36"/>
  <c r="X42" i="36"/>
  <c r="X43" i="36"/>
  <c r="X44" i="36"/>
  <c r="X45" i="36"/>
  <c r="X46" i="36"/>
  <c r="X47" i="36"/>
  <c r="X50" i="36"/>
  <c r="X51" i="36"/>
  <c r="AA51" i="36"/>
  <c r="H55" i="36"/>
  <c r="I35" i="16"/>
  <c r="J35" i="16"/>
  <c r="Z5" i="37"/>
  <c r="Z6" i="37"/>
  <c r="Z7" i="37"/>
  <c r="Z8" i="37"/>
  <c r="Z9" i="37"/>
  <c r="Z10" i="37"/>
  <c r="Z11" i="37"/>
  <c r="Z14" i="37"/>
  <c r="Z15" i="37"/>
  <c r="Z16" i="37"/>
  <c r="Z17" i="37"/>
  <c r="Z18" i="37"/>
  <c r="Z19" i="37"/>
  <c r="Z20" i="37"/>
  <c r="Z23" i="37"/>
  <c r="Z24" i="37"/>
  <c r="Z25" i="37"/>
  <c r="Z26" i="37"/>
  <c r="Z27" i="37"/>
  <c r="Z28" i="37"/>
  <c r="Z29" i="37"/>
  <c r="Z32" i="37"/>
  <c r="Z33" i="37"/>
  <c r="Z34" i="37"/>
  <c r="Z35" i="37"/>
  <c r="Z36" i="37"/>
  <c r="Z37" i="37"/>
  <c r="Z38" i="37"/>
  <c r="Z41" i="37"/>
  <c r="Z42" i="37"/>
  <c r="Z43" i="37"/>
  <c r="Z44" i="37"/>
  <c r="Z45" i="37"/>
  <c r="Z46" i="37"/>
  <c r="Z47" i="37"/>
  <c r="Z50" i="37"/>
  <c r="Z51" i="37"/>
  <c r="Y5" i="37"/>
  <c r="Y6" i="37"/>
  <c r="Y7" i="37"/>
  <c r="Y8" i="37"/>
  <c r="Y9" i="37"/>
  <c r="Y10" i="37"/>
  <c r="Y11" i="37"/>
  <c r="Y14" i="37"/>
  <c r="Y15" i="37"/>
  <c r="Y16" i="37"/>
  <c r="Y17" i="37"/>
  <c r="Y18" i="37"/>
  <c r="Y19" i="37"/>
  <c r="Y20" i="37"/>
  <c r="Y23" i="37"/>
  <c r="Y24" i="37"/>
  <c r="Y25" i="37"/>
  <c r="Y26" i="37"/>
  <c r="Y27" i="37"/>
  <c r="Y28" i="37"/>
  <c r="Y29" i="37"/>
  <c r="Y32" i="37"/>
  <c r="Y33" i="37"/>
  <c r="Y34" i="37"/>
  <c r="Y35" i="37"/>
  <c r="Y36" i="37"/>
  <c r="Y37" i="37"/>
  <c r="Y38" i="37"/>
  <c r="Y41" i="37"/>
  <c r="Y42" i="37"/>
  <c r="Y43" i="37"/>
  <c r="Y44" i="37"/>
  <c r="Y45" i="37"/>
  <c r="Y46" i="37"/>
  <c r="Y47" i="37"/>
  <c r="Y50" i="37"/>
  <c r="Y51" i="37"/>
  <c r="X5" i="37"/>
  <c r="X6" i="37"/>
  <c r="X7" i="37"/>
  <c r="X8" i="37"/>
  <c r="X9" i="37"/>
  <c r="X10" i="37"/>
  <c r="X11" i="37"/>
  <c r="X14" i="37"/>
  <c r="X15" i="37"/>
  <c r="X16" i="37"/>
  <c r="X17" i="37"/>
  <c r="X18" i="37"/>
  <c r="X19" i="37"/>
  <c r="X20" i="37"/>
  <c r="X23" i="37"/>
  <c r="X24" i="37"/>
  <c r="X25" i="37"/>
  <c r="X26" i="37"/>
  <c r="X27" i="37"/>
  <c r="X28" i="37"/>
  <c r="X29" i="37"/>
  <c r="X32" i="37"/>
  <c r="X33" i="37"/>
  <c r="X34" i="37"/>
  <c r="X35" i="37"/>
  <c r="X36" i="37"/>
  <c r="X37" i="37"/>
  <c r="X38" i="37"/>
  <c r="X41" i="37"/>
  <c r="X42" i="37"/>
  <c r="X43" i="37"/>
  <c r="X44" i="37"/>
  <c r="X45" i="37"/>
  <c r="X46" i="37"/>
  <c r="X47" i="37"/>
  <c r="X50" i="37"/>
  <c r="X51" i="37"/>
  <c r="AA51" i="37"/>
  <c r="H55" i="37"/>
  <c r="I36" i="16"/>
  <c r="J36" i="16"/>
  <c r="Z5" i="38"/>
  <c r="Z6" i="38"/>
  <c r="Z7" i="38"/>
  <c r="Z8" i="38"/>
  <c r="Z9" i="38"/>
  <c r="Z10" i="38"/>
  <c r="Z11" i="38"/>
  <c r="Z14" i="38"/>
  <c r="Z15" i="38"/>
  <c r="Z16" i="38"/>
  <c r="Z17" i="38"/>
  <c r="Z18" i="38"/>
  <c r="Z19" i="38"/>
  <c r="Z20" i="38"/>
  <c r="Z23" i="38"/>
  <c r="Z24" i="38"/>
  <c r="Z25" i="38"/>
  <c r="Z26" i="38"/>
  <c r="Z27" i="38"/>
  <c r="Z28" i="38"/>
  <c r="Z29" i="38"/>
  <c r="Z32" i="38"/>
  <c r="Z33" i="38"/>
  <c r="Z34" i="38"/>
  <c r="Z35" i="38"/>
  <c r="Z36" i="38"/>
  <c r="Z37" i="38"/>
  <c r="Z38" i="38"/>
  <c r="Z41" i="38"/>
  <c r="Z42" i="38"/>
  <c r="Z43" i="38"/>
  <c r="Z44" i="38"/>
  <c r="Z45" i="38"/>
  <c r="Z46" i="38"/>
  <c r="Z47" i="38"/>
  <c r="Z50" i="38"/>
  <c r="Z51" i="38"/>
  <c r="Y5" i="38"/>
  <c r="Y6" i="38"/>
  <c r="Y7" i="38"/>
  <c r="Y8" i="38"/>
  <c r="Y9" i="38"/>
  <c r="Y10" i="38"/>
  <c r="Y11" i="38"/>
  <c r="Y14" i="38"/>
  <c r="Y15" i="38"/>
  <c r="Y16" i="38"/>
  <c r="Y17" i="38"/>
  <c r="Y18" i="38"/>
  <c r="Y19" i="38"/>
  <c r="Y20" i="38"/>
  <c r="Y23" i="38"/>
  <c r="Y24" i="38"/>
  <c r="Y25" i="38"/>
  <c r="Y26" i="38"/>
  <c r="Y27" i="38"/>
  <c r="Y28" i="38"/>
  <c r="Y29" i="38"/>
  <c r="Y32" i="38"/>
  <c r="Y33" i="38"/>
  <c r="Y34" i="38"/>
  <c r="Y35" i="38"/>
  <c r="Y36" i="38"/>
  <c r="Y37" i="38"/>
  <c r="Y38" i="38"/>
  <c r="Y41" i="38"/>
  <c r="Y42" i="38"/>
  <c r="Y43" i="38"/>
  <c r="Y44" i="38"/>
  <c r="Y45" i="38"/>
  <c r="Y46" i="38"/>
  <c r="Y47" i="38"/>
  <c r="Y50" i="38"/>
  <c r="Y51" i="38"/>
  <c r="X5" i="38"/>
  <c r="X6" i="38"/>
  <c r="X7" i="38"/>
  <c r="X8" i="38"/>
  <c r="X9" i="38"/>
  <c r="X10" i="38"/>
  <c r="X11" i="38"/>
  <c r="X14" i="38"/>
  <c r="X15" i="38"/>
  <c r="X16" i="38"/>
  <c r="X17" i="38"/>
  <c r="X18" i="38"/>
  <c r="X19" i="38"/>
  <c r="X20" i="38"/>
  <c r="X23" i="38"/>
  <c r="X24" i="38"/>
  <c r="X25" i="38"/>
  <c r="X26" i="38"/>
  <c r="X27" i="38"/>
  <c r="X28" i="38"/>
  <c r="X29" i="38"/>
  <c r="X32" i="38"/>
  <c r="X33" i="38"/>
  <c r="X34" i="38"/>
  <c r="X35" i="38"/>
  <c r="X36" i="38"/>
  <c r="X37" i="38"/>
  <c r="X38" i="38"/>
  <c r="X41" i="38"/>
  <c r="X42" i="38"/>
  <c r="X43" i="38"/>
  <c r="X44" i="38"/>
  <c r="X45" i="38"/>
  <c r="X46" i="38"/>
  <c r="X47" i="38"/>
  <c r="X50" i="38"/>
  <c r="X51" i="38"/>
  <c r="AA51" i="38"/>
  <c r="H55" i="38"/>
  <c r="I37" i="16"/>
  <c r="J37" i="16"/>
  <c r="Z5" i="39"/>
  <c r="Z6" i="39"/>
  <c r="Z7" i="39"/>
  <c r="Z8" i="39"/>
  <c r="Z9" i="39"/>
  <c r="Z10" i="39"/>
  <c r="Z11" i="39"/>
  <c r="Z14" i="39"/>
  <c r="Z15" i="39"/>
  <c r="Z16" i="39"/>
  <c r="Z17" i="39"/>
  <c r="Z18" i="39"/>
  <c r="Z19" i="39"/>
  <c r="Z20" i="39"/>
  <c r="Z23" i="39"/>
  <c r="Z24" i="39"/>
  <c r="Z25" i="39"/>
  <c r="Z26" i="39"/>
  <c r="Z27" i="39"/>
  <c r="Z28" i="39"/>
  <c r="Z29" i="39"/>
  <c r="Z32" i="39"/>
  <c r="Z33" i="39"/>
  <c r="Z34" i="39"/>
  <c r="Z35" i="39"/>
  <c r="Z36" i="39"/>
  <c r="Z37" i="39"/>
  <c r="Z38" i="39"/>
  <c r="Z41" i="39"/>
  <c r="Z42" i="39"/>
  <c r="Z43" i="39"/>
  <c r="Z44" i="39"/>
  <c r="Z45" i="39"/>
  <c r="Z46" i="39"/>
  <c r="Z47" i="39"/>
  <c r="Z50" i="39"/>
  <c r="Z51" i="39"/>
  <c r="Y5" i="39"/>
  <c r="Y6" i="39"/>
  <c r="Y7" i="39"/>
  <c r="Y8" i="39"/>
  <c r="Y9" i="39"/>
  <c r="Y10" i="39"/>
  <c r="Y11" i="39"/>
  <c r="Y14" i="39"/>
  <c r="Y15" i="39"/>
  <c r="Y16" i="39"/>
  <c r="Y17" i="39"/>
  <c r="Y18" i="39"/>
  <c r="Y19" i="39"/>
  <c r="Y20" i="39"/>
  <c r="Y23" i="39"/>
  <c r="Y24" i="39"/>
  <c r="Y25" i="39"/>
  <c r="Y26" i="39"/>
  <c r="Y27" i="39"/>
  <c r="Y28" i="39"/>
  <c r="Y29" i="39"/>
  <c r="Y32" i="39"/>
  <c r="Y33" i="39"/>
  <c r="Y34" i="39"/>
  <c r="Y35" i="39"/>
  <c r="Y36" i="39"/>
  <c r="Y37" i="39"/>
  <c r="Y38" i="39"/>
  <c r="Y41" i="39"/>
  <c r="Y42" i="39"/>
  <c r="Y43" i="39"/>
  <c r="Y44" i="39"/>
  <c r="Y45" i="39"/>
  <c r="Y46" i="39"/>
  <c r="Y47" i="39"/>
  <c r="Y50" i="39"/>
  <c r="Y51" i="39"/>
  <c r="X5" i="39"/>
  <c r="X6" i="39"/>
  <c r="X7" i="39"/>
  <c r="X8" i="39"/>
  <c r="X9" i="39"/>
  <c r="X10" i="39"/>
  <c r="X11" i="39"/>
  <c r="X14" i="39"/>
  <c r="X15" i="39"/>
  <c r="X16" i="39"/>
  <c r="X17" i="39"/>
  <c r="X18" i="39"/>
  <c r="X19" i="39"/>
  <c r="X20" i="39"/>
  <c r="X23" i="39"/>
  <c r="X24" i="39"/>
  <c r="X25" i="39"/>
  <c r="X26" i="39"/>
  <c r="X27" i="39"/>
  <c r="X28" i="39"/>
  <c r="X29" i="39"/>
  <c r="X32" i="39"/>
  <c r="X33" i="39"/>
  <c r="X34" i="39"/>
  <c r="X35" i="39"/>
  <c r="X36" i="39"/>
  <c r="X37" i="39"/>
  <c r="X38" i="39"/>
  <c r="X41" i="39"/>
  <c r="X42" i="39"/>
  <c r="X43" i="39"/>
  <c r="X44" i="39"/>
  <c r="X45" i="39"/>
  <c r="X46" i="39"/>
  <c r="X47" i="39"/>
  <c r="X50" i="39"/>
  <c r="X51" i="39"/>
  <c r="AA51" i="39"/>
  <c r="H55" i="39"/>
  <c r="I38" i="16"/>
  <c r="J38" i="16"/>
  <c r="Z5" i="40"/>
  <c r="Z6" i="40"/>
  <c r="Z7" i="40"/>
  <c r="Z8" i="40"/>
  <c r="Z9" i="40"/>
  <c r="Z10" i="40"/>
  <c r="Z11" i="40"/>
  <c r="Z14" i="40"/>
  <c r="Z15" i="40"/>
  <c r="Z16" i="40"/>
  <c r="Z17" i="40"/>
  <c r="Z18" i="40"/>
  <c r="Z19" i="40"/>
  <c r="Z20" i="40"/>
  <c r="Z23" i="40"/>
  <c r="Z24" i="40"/>
  <c r="Z25" i="40"/>
  <c r="Z26" i="40"/>
  <c r="Z27" i="40"/>
  <c r="Z28" i="40"/>
  <c r="Z29" i="40"/>
  <c r="Z32" i="40"/>
  <c r="Z33" i="40"/>
  <c r="Z34" i="40"/>
  <c r="Z35" i="40"/>
  <c r="Z36" i="40"/>
  <c r="Z37" i="40"/>
  <c r="Z38" i="40"/>
  <c r="Z41" i="40"/>
  <c r="Z42" i="40"/>
  <c r="Z43" i="40"/>
  <c r="Z44" i="40"/>
  <c r="Z45" i="40"/>
  <c r="Z46" i="40"/>
  <c r="Z47" i="40"/>
  <c r="Z50" i="40"/>
  <c r="Z51" i="40"/>
  <c r="Y5" i="40"/>
  <c r="Y6" i="40"/>
  <c r="Y7" i="40"/>
  <c r="Y8" i="40"/>
  <c r="Y9" i="40"/>
  <c r="Y10" i="40"/>
  <c r="Y11" i="40"/>
  <c r="Y14" i="40"/>
  <c r="Y15" i="40"/>
  <c r="Y16" i="40"/>
  <c r="Y17" i="40"/>
  <c r="Y18" i="40"/>
  <c r="Y19" i="40"/>
  <c r="Y20" i="40"/>
  <c r="Y23" i="40"/>
  <c r="Y24" i="40"/>
  <c r="Y25" i="40"/>
  <c r="Y26" i="40"/>
  <c r="Y27" i="40"/>
  <c r="Y28" i="40"/>
  <c r="Y29" i="40"/>
  <c r="Y32" i="40"/>
  <c r="Y33" i="40"/>
  <c r="Y34" i="40"/>
  <c r="Y35" i="40"/>
  <c r="Y36" i="40"/>
  <c r="Y37" i="40"/>
  <c r="Y38" i="40"/>
  <c r="Y41" i="40"/>
  <c r="Y42" i="40"/>
  <c r="Y43" i="40"/>
  <c r="Y44" i="40"/>
  <c r="Y45" i="40"/>
  <c r="Y46" i="40"/>
  <c r="Y47" i="40"/>
  <c r="Y50" i="40"/>
  <c r="Y51" i="40"/>
  <c r="X5" i="40"/>
  <c r="X6" i="40"/>
  <c r="X7" i="40"/>
  <c r="X8" i="40"/>
  <c r="X9" i="40"/>
  <c r="X10" i="40"/>
  <c r="X11" i="40"/>
  <c r="X14" i="40"/>
  <c r="X15" i="40"/>
  <c r="X16" i="40"/>
  <c r="X17" i="40"/>
  <c r="X18" i="40"/>
  <c r="X19" i="40"/>
  <c r="X20" i="40"/>
  <c r="X23" i="40"/>
  <c r="X24" i="40"/>
  <c r="X25" i="40"/>
  <c r="X26" i="40"/>
  <c r="X27" i="40"/>
  <c r="X28" i="40"/>
  <c r="X29" i="40"/>
  <c r="X32" i="40"/>
  <c r="X33" i="40"/>
  <c r="X34" i="40"/>
  <c r="X35" i="40"/>
  <c r="X36" i="40"/>
  <c r="X37" i="40"/>
  <c r="X38" i="40"/>
  <c r="X41" i="40"/>
  <c r="X42" i="40"/>
  <c r="X43" i="40"/>
  <c r="X44" i="40"/>
  <c r="X45" i="40"/>
  <c r="X46" i="40"/>
  <c r="X47" i="40"/>
  <c r="X50" i="40"/>
  <c r="X51" i="40"/>
  <c r="AA51" i="40"/>
  <c r="H55" i="40"/>
  <c r="I39" i="16"/>
  <c r="J39" i="16"/>
  <c r="G3" i="41"/>
  <c r="B11" i="16"/>
  <c r="F3" i="41"/>
  <c r="A3" i="41"/>
  <c r="O50" i="41"/>
  <c r="O51" i="41"/>
  <c r="H53" i="41"/>
  <c r="G52" i="41"/>
  <c r="F52" i="41"/>
  <c r="S40" i="16"/>
  <c r="G40" i="16"/>
  <c r="U40" i="16"/>
  <c r="B2" i="40"/>
  <c r="C3" i="40"/>
  <c r="C5" i="40"/>
  <c r="B5" i="40"/>
  <c r="AA11" i="40"/>
  <c r="H12" i="40"/>
  <c r="G12" i="40"/>
  <c r="F12" i="40"/>
  <c r="N39" i="16"/>
  <c r="C11" i="40"/>
  <c r="C14" i="40"/>
  <c r="B14" i="40"/>
  <c r="H21" i="40"/>
  <c r="G21" i="40"/>
  <c r="F21" i="40"/>
  <c r="O39" i="16"/>
  <c r="C15" i="40"/>
  <c r="C16" i="40"/>
  <c r="C17" i="40"/>
  <c r="C18" i="40"/>
  <c r="C19" i="40"/>
  <c r="C20" i="40"/>
  <c r="C23" i="40"/>
  <c r="B23" i="40"/>
  <c r="H30" i="40"/>
  <c r="G30" i="40"/>
  <c r="F30" i="40"/>
  <c r="P39" i="16"/>
  <c r="C24" i="40"/>
  <c r="C25" i="40"/>
  <c r="C26" i="40"/>
  <c r="C27" i="40"/>
  <c r="C28" i="40"/>
  <c r="C29" i="40"/>
  <c r="C32" i="40"/>
  <c r="B32" i="40"/>
  <c r="H39" i="40"/>
  <c r="G39" i="40"/>
  <c r="F39" i="40"/>
  <c r="Q39" i="16"/>
  <c r="B3" i="40"/>
  <c r="C33" i="40"/>
  <c r="C34" i="40"/>
  <c r="C35" i="40"/>
  <c r="C36" i="40"/>
  <c r="C37" i="40"/>
  <c r="C38" i="40"/>
  <c r="C41" i="40"/>
  <c r="B41" i="40"/>
  <c r="C42" i="40"/>
  <c r="B42" i="40"/>
  <c r="C43" i="40"/>
  <c r="B43" i="40"/>
  <c r="C44" i="40"/>
  <c r="B44" i="40"/>
  <c r="C45" i="40"/>
  <c r="B45" i="40"/>
  <c r="C46" i="40"/>
  <c r="B46" i="40"/>
  <c r="C47" i="40"/>
  <c r="B47" i="40"/>
  <c r="H48" i="40"/>
  <c r="G48" i="40"/>
  <c r="F48" i="40"/>
  <c r="R39" i="16"/>
  <c r="C50" i="40"/>
  <c r="B50" i="40"/>
  <c r="O50" i="40"/>
  <c r="C51" i="40"/>
  <c r="B51" i="40"/>
  <c r="O51" i="40"/>
  <c r="H53" i="40"/>
  <c r="S39" i="16"/>
  <c r="G39" i="16"/>
  <c r="U39" i="16"/>
  <c r="B2" i="39"/>
  <c r="C3" i="39"/>
  <c r="C5" i="39"/>
  <c r="B5" i="39"/>
  <c r="H12" i="39"/>
  <c r="G12" i="39"/>
  <c r="F12" i="39"/>
  <c r="N38" i="16"/>
  <c r="C11" i="39"/>
  <c r="C14" i="39"/>
  <c r="B14" i="39"/>
  <c r="H21" i="39"/>
  <c r="G21" i="39"/>
  <c r="F21" i="39"/>
  <c r="O38" i="16"/>
  <c r="C15" i="39"/>
  <c r="C16" i="39"/>
  <c r="C17" i="39"/>
  <c r="C18" i="39"/>
  <c r="C19" i="39"/>
  <c r="C20" i="39"/>
  <c r="C23" i="39"/>
  <c r="B23" i="39"/>
  <c r="H30" i="39"/>
  <c r="G30" i="39"/>
  <c r="F30" i="39"/>
  <c r="P38" i="16"/>
  <c r="C24" i="39"/>
  <c r="C25" i="39"/>
  <c r="C26" i="39"/>
  <c r="C27" i="39"/>
  <c r="C28" i="39"/>
  <c r="C29" i="39"/>
  <c r="C32" i="39"/>
  <c r="B32" i="39"/>
  <c r="H39" i="39"/>
  <c r="G39" i="39"/>
  <c r="F39" i="39"/>
  <c r="Q38" i="16"/>
  <c r="B3" i="39"/>
  <c r="C33" i="39"/>
  <c r="C34" i="39"/>
  <c r="C35" i="39"/>
  <c r="C36" i="39"/>
  <c r="C37" i="39"/>
  <c r="C38" i="39"/>
  <c r="C41" i="39"/>
  <c r="B41" i="39"/>
  <c r="C42" i="39"/>
  <c r="B42" i="39"/>
  <c r="C43" i="39"/>
  <c r="B43" i="39"/>
  <c r="C44" i="39"/>
  <c r="B44" i="39"/>
  <c r="C45" i="39"/>
  <c r="B45" i="39"/>
  <c r="C46" i="39"/>
  <c r="B46" i="39"/>
  <c r="C47" i="39"/>
  <c r="B47" i="39"/>
  <c r="H48" i="39"/>
  <c r="G48" i="39"/>
  <c r="F48" i="39"/>
  <c r="R38" i="16"/>
  <c r="C50" i="39"/>
  <c r="B50" i="39"/>
  <c r="O50" i="39"/>
  <c r="C51" i="39"/>
  <c r="B51" i="39"/>
  <c r="O51" i="39"/>
  <c r="H53" i="39"/>
  <c r="S38" i="16"/>
  <c r="G38" i="16"/>
  <c r="U38" i="16"/>
  <c r="B2" i="38"/>
  <c r="C3" i="38"/>
  <c r="C5" i="38"/>
  <c r="B5" i="38"/>
  <c r="AA11" i="38"/>
  <c r="H12" i="38"/>
  <c r="G12" i="38"/>
  <c r="F12" i="38"/>
  <c r="N37" i="16"/>
  <c r="C11" i="38"/>
  <c r="C14" i="38"/>
  <c r="B14" i="38"/>
  <c r="H21" i="38"/>
  <c r="G21" i="38"/>
  <c r="F21" i="38"/>
  <c r="O37" i="16"/>
  <c r="C15" i="38"/>
  <c r="C16" i="38"/>
  <c r="C17" i="38"/>
  <c r="C18" i="38"/>
  <c r="C19" i="38"/>
  <c r="C20" i="38"/>
  <c r="C23" i="38"/>
  <c r="B23" i="38"/>
  <c r="H30" i="38"/>
  <c r="G30" i="38"/>
  <c r="F30" i="38"/>
  <c r="P37" i="16"/>
  <c r="C24" i="38"/>
  <c r="C25" i="38"/>
  <c r="C26" i="38"/>
  <c r="C27" i="38"/>
  <c r="C28" i="38"/>
  <c r="C29" i="38"/>
  <c r="C32" i="38"/>
  <c r="B32" i="38"/>
  <c r="H39" i="38"/>
  <c r="G39" i="38"/>
  <c r="F39" i="38"/>
  <c r="Q37" i="16"/>
  <c r="B3" i="38"/>
  <c r="C33" i="38"/>
  <c r="C34" i="38"/>
  <c r="C35" i="38"/>
  <c r="C36" i="38"/>
  <c r="C37" i="38"/>
  <c r="C38" i="38"/>
  <c r="C41" i="38"/>
  <c r="B41" i="38"/>
  <c r="C42" i="38"/>
  <c r="B42" i="38"/>
  <c r="C43" i="38"/>
  <c r="B43" i="38"/>
  <c r="C44" i="38"/>
  <c r="B44" i="38"/>
  <c r="C45" i="38"/>
  <c r="B45" i="38"/>
  <c r="C46" i="38"/>
  <c r="B46" i="38"/>
  <c r="C47" i="38"/>
  <c r="B47" i="38"/>
  <c r="H48" i="38"/>
  <c r="G48" i="38"/>
  <c r="F48" i="38"/>
  <c r="R37" i="16"/>
  <c r="C50" i="38"/>
  <c r="B50" i="38"/>
  <c r="O50" i="38"/>
  <c r="C51" i="38"/>
  <c r="B51" i="38"/>
  <c r="O51" i="38"/>
  <c r="H53" i="38"/>
  <c r="S37" i="16"/>
  <c r="G37" i="16"/>
  <c r="U37" i="16"/>
  <c r="B2" i="37"/>
  <c r="C3" i="37"/>
  <c r="C5" i="37"/>
  <c r="B5" i="37"/>
  <c r="AA11" i="37"/>
  <c r="H12" i="37"/>
  <c r="G12" i="37"/>
  <c r="F12" i="37"/>
  <c r="N36" i="16"/>
  <c r="C11" i="37"/>
  <c r="C14" i="37"/>
  <c r="B14" i="37"/>
  <c r="H21" i="37"/>
  <c r="G21" i="37"/>
  <c r="F21" i="37"/>
  <c r="O36" i="16"/>
  <c r="C15" i="37"/>
  <c r="C16" i="37"/>
  <c r="C17" i="37"/>
  <c r="C18" i="37"/>
  <c r="C19" i="37"/>
  <c r="C20" i="37"/>
  <c r="C23" i="37"/>
  <c r="B23" i="37"/>
  <c r="H30" i="37"/>
  <c r="G30" i="37"/>
  <c r="F30" i="37"/>
  <c r="P36" i="16"/>
  <c r="C24" i="37"/>
  <c r="C25" i="37"/>
  <c r="C26" i="37"/>
  <c r="C27" i="37"/>
  <c r="C28" i="37"/>
  <c r="C29" i="37"/>
  <c r="C32" i="37"/>
  <c r="B32" i="37"/>
  <c r="H39" i="37"/>
  <c r="G39" i="37"/>
  <c r="F39" i="37"/>
  <c r="Q36" i="16"/>
  <c r="B3" i="37"/>
  <c r="C33" i="37"/>
  <c r="C34" i="37"/>
  <c r="C35" i="37"/>
  <c r="C36" i="37"/>
  <c r="C37" i="37"/>
  <c r="C38" i="37"/>
  <c r="C41" i="37"/>
  <c r="B41" i="37"/>
  <c r="C42" i="37"/>
  <c r="B42" i="37"/>
  <c r="C43" i="37"/>
  <c r="B43" i="37"/>
  <c r="C44" i="37"/>
  <c r="B44" i="37"/>
  <c r="C45" i="37"/>
  <c r="B45" i="37"/>
  <c r="C46" i="37"/>
  <c r="B46" i="37"/>
  <c r="C47" i="37"/>
  <c r="B47" i="37"/>
  <c r="H48" i="37"/>
  <c r="G48" i="37"/>
  <c r="F48" i="37"/>
  <c r="R36" i="16"/>
  <c r="C50" i="37"/>
  <c r="B50" i="37"/>
  <c r="O50" i="37"/>
  <c r="C51" i="37"/>
  <c r="B51" i="37"/>
  <c r="O51" i="37"/>
  <c r="H53" i="37"/>
  <c r="S36" i="16"/>
  <c r="G36" i="16"/>
  <c r="U36" i="16"/>
  <c r="B2" i="36"/>
  <c r="C3" i="36"/>
  <c r="C5" i="36"/>
  <c r="B5" i="36"/>
  <c r="AA11" i="36"/>
  <c r="H12" i="36"/>
  <c r="G12" i="36"/>
  <c r="F12" i="36"/>
  <c r="N35" i="16"/>
  <c r="C11" i="36"/>
  <c r="C14" i="36"/>
  <c r="B14" i="36"/>
  <c r="H21" i="36"/>
  <c r="G21" i="36"/>
  <c r="F21" i="36"/>
  <c r="O35" i="16"/>
  <c r="C15" i="36"/>
  <c r="C16" i="36"/>
  <c r="C17" i="36"/>
  <c r="C18" i="36"/>
  <c r="C19" i="36"/>
  <c r="C20" i="36"/>
  <c r="C23" i="36"/>
  <c r="B23" i="36"/>
  <c r="H30" i="36"/>
  <c r="G30" i="36"/>
  <c r="F30" i="36"/>
  <c r="P35" i="16"/>
  <c r="C24" i="36"/>
  <c r="C25" i="36"/>
  <c r="C26" i="36"/>
  <c r="C27" i="36"/>
  <c r="C28" i="36"/>
  <c r="C29" i="36"/>
  <c r="C32" i="36"/>
  <c r="B32" i="36"/>
  <c r="H39" i="36"/>
  <c r="G39" i="36"/>
  <c r="F39" i="36"/>
  <c r="Q35" i="16"/>
  <c r="B3" i="36"/>
  <c r="C33" i="36"/>
  <c r="C34" i="36"/>
  <c r="C35" i="36"/>
  <c r="C36" i="36"/>
  <c r="C37" i="36"/>
  <c r="C38" i="36"/>
  <c r="C41" i="36"/>
  <c r="B41" i="36"/>
  <c r="C42" i="36"/>
  <c r="B42" i="36"/>
  <c r="C43" i="36"/>
  <c r="B43" i="36"/>
  <c r="C44" i="36"/>
  <c r="B44" i="36"/>
  <c r="C45" i="36"/>
  <c r="B45" i="36"/>
  <c r="C46" i="36"/>
  <c r="B46" i="36"/>
  <c r="C47" i="36"/>
  <c r="B47" i="36"/>
  <c r="H48" i="36"/>
  <c r="G48" i="36"/>
  <c r="F48" i="36"/>
  <c r="R35" i="16"/>
  <c r="C50" i="36"/>
  <c r="B50" i="36"/>
  <c r="C51" i="36"/>
  <c r="B51" i="36"/>
  <c r="H52" i="36"/>
  <c r="G3" i="36"/>
  <c r="F3" i="36"/>
  <c r="A3" i="36"/>
  <c r="O50" i="36"/>
  <c r="O51" i="36"/>
  <c r="H53" i="36"/>
  <c r="G52" i="36"/>
  <c r="F52" i="36"/>
  <c r="S35" i="16"/>
  <c r="G35" i="16"/>
  <c r="U35" i="16"/>
  <c r="B2" i="35"/>
  <c r="C3" i="35"/>
  <c r="C5" i="35"/>
  <c r="B5" i="35"/>
  <c r="AA11" i="35"/>
  <c r="H12" i="35"/>
  <c r="G12" i="35"/>
  <c r="F12" i="35"/>
  <c r="N34" i="16"/>
  <c r="C11" i="35"/>
  <c r="C14" i="35"/>
  <c r="B14" i="35"/>
  <c r="H21" i="35"/>
  <c r="G21" i="35"/>
  <c r="F21" i="35"/>
  <c r="O34" i="16"/>
  <c r="C15" i="35"/>
  <c r="C16" i="35"/>
  <c r="C17" i="35"/>
  <c r="C18" i="35"/>
  <c r="C19" i="35"/>
  <c r="C20" i="35"/>
  <c r="C23" i="35"/>
  <c r="B23" i="35"/>
  <c r="H30" i="35"/>
  <c r="G30" i="35"/>
  <c r="F30" i="35"/>
  <c r="P34" i="16"/>
  <c r="C24" i="35"/>
  <c r="C25" i="35"/>
  <c r="C26" i="35"/>
  <c r="C27" i="35"/>
  <c r="C28" i="35"/>
  <c r="C29" i="35"/>
  <c r="C32" i="35"/>
  <c r="B32" i="35"/>
  <c r="H39" i="35"/>
  <c r="G39" i="35"/>
  <c r="F39" i="35"/>
  <c r="Q34" i="16"/>
  <c r="B3" i="35"/>
  <c r="C33" i="35"/>
  <c r="C34" i="35"/>
  <c r="C35" i="35"/>
  <c r="C36" i="35"/>
  <c r="C37" i="35"/>
  <c r="C38" i="35"/>
  <c r="C41" i="35"/>
  <c r="B41" i="35"/>
  <c r="C42" i="35"/>
  <c r="B42" i="35"/>
  <c r="C43" i="35"/>
  <c r="B43" i="35"/>
  <c r="C44" i="35"/>
  <c r="B44" i="35"/>
  <c r="C45" i="35"/>
  <c r="B45" i="35"/>
  <c r="C46" i="35"/>
  <c r="B46" i="35"/>
  <c r="C47" i="35"/>
  <c r="B47" i="35"/>
  <c r="H48" i="35"/>
  <c r="G48" i="35"/>
  <c r="F48" i="35"/>
  <c r="R34" i="16"/>
  <c r="C50" i="35"/>
  <c r="B50" i="35"/>
  <c r="O50" i="35"/>
  <c r="C51" i="35"/>
  <c r="B51" i="35"/>
  <c r="O51" i="35"/>
  <c r="H53" i="35"/>
  <c r="S34" i="16"/>
  <c r="G34" i="16"/>
  <c r="U34" i="16"/>
  <c r="B2" i="34"/>
  <c r="C3" i="34"/>
  <c r="C5" i="34"/>
  <c r="B5" i="34"/>
  <c r="AA11" i="34"/>
  <c r="H12" i="34"/>
  <c r="G12" i="34"/>
  <c r="F12" i="34"/>
  <c r="N33" i="16"/>
  <c r="C11" i="34"/>
  <c r="C14" i="34"/>
  <c r="B14" i="34"/>
  <c r="H21" i="34"/>
  <c r="G21" i="34"/>
  <c r="F21" i="34"/>
  <c r="O33" i="16"/>
  <c r="C15" i="34"/>
  <c r="C16" i="34"/>
  <c r="C17" i="34"/>
  <c r="C18" i="34"/>
  <c r="C19" i="34"/>
  <c r="C20" i="34"/>
  <c r="C23" i="34"/>
  <c r="B23" i="34"/>
  <c r="H30" i="34"/>
  <c r="G30" i="34"/>
  <c r="F30" i="34"/>
  <c r="P33" i="16"/>
  <c r="C24" i="34"/>
  <c r="C25" i="34"/>
  <c r="C26" i="34"/>
  <c r="C27" i="34"/>
  <c r="C28" i="34"/>
  <c r="C29" i="34"/>
  <c r="C32" i="34"/>
  <c r="B32" i="34"/>
  <c r="H39" i="34"/>
  <c r="G39" i="34"/>
  <c r="F39" i="34"/>
  <c r="Q33" i="16"/>
  <c r="B3" i="34"/>
  <c r="C33" i="34"/>
  <c r="C34" i="34"/>
  <c r="C35" i="34"/>
  <c r="C36" i="34"/>
  <c r="C37" i="34"/>
  <c r="C38" i="34"/>
  <c r="C41" i="34"/>
  <c r="B41" i="34"/>
  <c r="C42" i="34"/>
  <c r="B42" i="34"/>
  <c r="C43" i="34"/>
  <c r="B43" i="34"/>
  <c r="C44" i="34"/>
  <c r="B44" i="34"/>
  <c r="C45" i="34"/>
  <c r="B45" i="34"/>
  <c r="C46" i="34"/>
  <c r="B46" i="34"/>
  <c r="C47" i="34"/>
  <c r="B47" i="34"/>
  <c r="H48" i="34"/>
  <c r="G48" i="34"/>
  <c r="F48" i="34"/>
  <c r="R33" i="16"/>
  <c r="C50" i="34"/>
  <c r="B50" i="34"/>
  <c r="O50" i="34"/>
  <c r="C51" i="34"/>
  <c r="B51" i="34"/>
  <c r="O51" i="34"/>
  <c r="H53" i="34"/>
  <c r="S33" i="16"/>
  <c r="G33" i="16"/>
  <c r="U33" i="16"/>
  <c r="B2" i="33"/>
  <c r="C3" i="33"/>
  <c r="C5" i="33"/>
  <c r="B5" i="33"/>
  <c r="AA11" i="33"/>
  <c r="H12" i="33"/>
  <c r="G12" i="33"/>
  <c r="F12" i="33"/>
  <c r="N32" i="16"/>
  <c r="C11" i="33"/>
  <c r="C14" i="33"/>
  <c r="B14" i="33"/>
  <c r="H21" i="33"/>
  <c r="G21" i="33"/>
  <c r="F21" i="33"/>
  <c r="O32" i="16"/>
  <c r="C15" i="33"/>
  <c r="C16" i="33"/>
  <c r="C17" i="33"/>
  <c r="C18" i="33"/>
  <c r="C19" i="33"/>
  <c r="C20" i="33"/>
  <c r="C23" i="33"/>
  <c r="B23" i="33"/>
  <c r="H30" i="33"/>
  <c r="G30" i="33"/>
  <c r="F30" i="33"/>
  <c r="P32" i="16"/>
  <c r="C24" i="33"/>
  <c r="C25" i="33"/>
  <c r="C26" i="33"/>
  <c r="C27" i="33"/>
  <c r="C28" i="33"/>
  <c r="C29" i="33"/>
  <c r="C32" i="33"/>
  <c r="B32" i="33"/>
  <c r="H39" i="33"/>
  <c r="G39" i="33"/>
  <c r="F39" i="33"/>
  <c r="Q32" i="16"/>
  <c r="B3" i="33"/>
  <c r="C33" i="33"/>
  <c r="C34" i="33"/>
  <c r="C35" i="33"/>
  <c r="C36" i="33"/>
  <c r="C37" i="33"/>
  <c r="C38" i="33"/>
  <c r="C41" i="33"/>
  <c r="B41" i="33"/>
  <c r="C42" i="33"/>
  <c r="B42" i="33"/>
  <c r="C43" i="33"/>
  <c r="B43" i="33"/>
  <c r="C44" i="33"/>
  <c r="B44" i="33"/>
  <c r="C45" i="33"/>
  <c r="B45" i="33"/>
  <c r="C46" i="33"/>
  <c r="B46" i="33"/>
  <c r="C47" i="33"/>
  <c r="B47" i="33"/>
  <c r="H48" i="33"/>
  <c r="G48" i="33"/>
  <c r="F48" i="33"/>
  <c r="R32" i="16"/>
  <c r="C50" i="33"/>
  <c r="B50" i="33"/>
  <c r="C51" i="33"/>
  <c r="B51" i="33"/>
  <c r="H52" i="33"/>
  <c r="G3" i="33"/>
  <c r="F3" i="33"/>
  <c r="A3" i="33"/>
  <c r="O50" i="33"/>
  <c r="O51" i="33"/>
  <c r="H53" i="33"/>
  <c r="G52" i="33"/>
  <c r="F52" i="33"/>
  <c r="S32" i="16"/>
  <c r="G32" i="16"/>
  <c r="U32" i="16"/>
  <c r="B2" i="32"/>
  <c r="C3" i="32"/>
  <c r="C5" i="32"/>
  <c r="B5" i="32"/>
  <c r="AA11" i="32"/>
  <c r="H12" i="32"/>
  <c r="G12" i="32"/>
  <c r="F12" i="32"/>
  <c r="N31" i="16"/>
  <c r="C11" i="32"/>
  <c r="C14" i="32"/>
  <c r="B14" i="32"/>
  <c r="H21" i="32"/>
  <c r="G21" i="32"/>
  <c r="F21" i="32"/>
  <c r="O31" i="16"/>
  <c r="C15" i="32"/>
  <c r="C16" i="32"/>
  <c r="C17" i="32"/>
  <c r="C18" i="32"/>
  <c r="C19" i="32"/>
  <c r="C20" i="32"/>
  <c r="C23" i="32"/>
  <c r="B23" i="32"/>
  <c r="H30" i="32"/>
  <c r="G30" i="32"/>
  <c r="F30" i="32"/>
  <c r="P31" i="16"/>
  <c r="C24" i="32"/>
  <c r="C25" i="32"/>
  <c r="C26" i="32"/>
  <c r="C27" i="32"/>
  <c r="C28" i="32"/>
  <c r="C29" i="32"/>
  <c r="C32" i="32"/>
  <c r="B32" i="32"/>
  <c r="H39" i="32"/>
  <c r="G39" i="32"/>
  <c r="F39" i="32"/>
  <c r="Q31" i="16"/>
  <c r="B3" i="32"/>
  <c r="C33" i="32"/>
  <c r="C34" i="32"/>
  <c r="C35" i="32"/>
  <c r="C36" i="32"/>
  <c r="C37" i="32"/>
  <c r="C38" i="32"/>
  <c r="C41" i="32"/>
  <c r="B41" i="32"/>
  <c r="C42" i="32"/>
  <c r="B42" i="32"/>
  <c r="C43" i="32"/>
  <c r="B43" i="32"/>
  <c r="C44" i="32"/>
  <c r="B44" i="32"/>
  <c r="C45" i="32"/>
  <c r="B45" i="32"/>
  <c r="C46" i="32"/>
  <c r="B46" i="32"/>
  <c r="C47" i="32"/>
  <c r="B47" i="32"/>
  <c r="H48" i="32"/>
  <c r="G48" i="32"/>
  <c r="F48" i="32"/>
  <c r="R31" i="16"/>
  <c r="C50" i="32"/>
  <c r="B50" i="32"/>
  <c r="O50" i="32"/>
  <c r="C51" i="32"/>
  <c r="B51" i="32"/>
  <c r="O51" i="32"/>
  <c r="H53" i="32"/>
  <c r="S31" i="16"/>
  <c r="G31" i="16"/>
  <c r="U31" i="16"/>
  <c r="B2" i="31"/>
  <c r="C3" i="31"/>
  <c r="C5" i="31"/>
  <c r="B5" i="31"/>
  <c r="AA11" i="31"/>
  <c r="H12" i="31"/>
  <c r="G12" i="31"/>
  <c r="F12" i="31"/>
  <c r="N30" i="16"/>
  <c r="C11" i="31"/>
  <c r="C14" i="31"/>
  <c r="B14" i="31"/>
  <c r="AA20" i="31"/>
  <c r="H21" i="31"/>
  <c r="G21" i="31"/>
  <c r="F21" i="31"/>
  <c r="O30" i="16"/>
  <c r="C15" i="31"/>
  <c r="C16" i="31"/>
  <c r="C17" i="31"/>
  <c r="C18" i="31"/>
  <c r="C19" i="31"/>
  <c r="C20" i="31"/>
  <c r="C23" i="31"/>
  <c r="B23" i="31"/>
  <c r="H30" i="31"/>
  <c r="G30" i="31"/>
  <c r="F30" i="31"/>
  <c r="P30" i="16"/>
  <c r="C24" i="31"/>
  <c r="C25" i="31"/>
  <c r="C26" i="31"/>
  <c r="C27" i="31"/>
  <c r="C28" i="31"/>
  <c r="C29" i="31"/>
  <c r="C32" i="31"/>
  <c r="B32" i="31"/>
  <c r="H39" i="31"/>
  <c r="G39" i="31"/>
  <c r="F39" i="31"/>
  <c r="Q30" i="16"/>
  <c r="B3" i="31"/>
  <c r="C33" i="31"/>
  <c r="C34" i="31"/>
  <c r="C35" i="31"/>
  <c r="C36" i="31"/>
  <c r="C37" i="31"/>
  <c r="C38" i="31"/>
  <c r="C41" i="31"/>
  <c r="B41" i="31"/>
  <c r="C42" i="31"/>
  <c r="B42" i="31"/>
  <c r="C43" i="31"/>
  <c r="B43" i="31"/>
  <c r="C44" i="31"/>
  <c r="B44" i="31"/>
  <c r="C45" i="31"/>
  <c r="B45" i="31"/>
  <c r="C46" i="31"/>
  <c r="B46" i="31"/>
  <c r="C47" i="31"/>
  <c r="B47" i="31"/>
  <c r="H48" i="31"/>
  <c r="G48" i="31"/>
  <c r="F48" i="31"/>
  <c r="R30" i="16"/>
  <c r="C50" i="31"/>
  <c r="B50" i="31"/>
  <c r="O50" i="31"/>
  <c r="C51" i="31"/>
  <c r="B51" i="31"/>
  <c r="O51" i="31"/>
  <c r="H53" i="31"/>
  <c r="S30" i="16"/>
  <c r="G30" i="16"/>
  <c r="C8" i="16"/>
  <c r="AA16" i="31"/>
  <c r="U30" i="16"/>
  <c r="AA11" i="4"/>
  <c r="B2" i="4"/>
  <c r="C3" i="4"/>
  <c r="C5" i="4"/>
  <c r="B5" i="4"/>
  <c r="H12" i="4"/>
  <c r="G12" i="4"/>
  <c r="F12" i="4"/>
  <c r="N29" i="16"/>
  <c r="AA20" i="4"/>
  <c r="C11" i="4"/>
  <c r="C14" i="4"/>
  <c r="B14" i="4"/>
  <c r="H21" i="4"/>
  <c r="G21" i="4"/>
  <c r="F21" i="4"/>
  <c r="O29" i="16"/>
  <c r="AA29" i="4"/>
  <c r="C15" i="4"/>
  <c r="C16" i="4"/>
  <c r="C17" i="4"/>
  <c r="C18" i="4"/>
  <c r="C19" i="4"/>
  <c r="C20" i="4"/>
  <c r="C23" i="4"/>
  <c r="B23" i="4"/>
  <c r="H30" i="4"/>
  <c r="G30" i="4"/>
  <c r="F30" i="4"/>
  <c r="P29" i="16"/>
  <c r="AA38" i="4"/>
  <c r="C24" i="4"/>
  <c r="C25" i="4"/>
  <c r="C26" i="4"/>
  <c r="C27" i="4"/>
  <c r="C28" i="4"/>
  <c r="C29" i="4"/>
  <c r="C32" i="4"/>
  <c r="B32" i="4"/>
  <c r="H39" i="4"/>
  <c r="G39" i="4"/>
  <c r="F39" i="4"/>
  <c r="Q29" i="16"/>
  <c r="AA47" i="4"/>
  <c r="B3" i="4"/>
  <c r="C33" i="4"/>
  <c r="C34" i="4"/>
  <c r="C35" i="4"/>
  <c r="C36" i="4"/>
  <c r="C37" i="4"/>
  <c r="C38" i="4"/>
  <c r="C41" i="4"/>
  <c r="B41" i="4"/>
  <c r="C42" i="4"/>
  <c r="B42" i="4"/>
  <c r="C43" i="4"/>
  <c r="B43" i="4"/>
  <c r="C44" i="4"/>
  <c r="B44" i="4"/>
  <c r="C45" i="4"/>
  <c r="B45" i="4"/>
  <c r="C46" i="4"/>
  <c r="B46" i="4"/>
  <c r="C47" i="4"/>
  <c r="B47" i="4"/>
  <c r="H48" i="4"/>
  <c r="G48" i="4"/>
  <c r="F48" i="4"/>
  <c r="R29" i="16"/>
  <c r="C50" i="4"/>
  <c r="B50" i="4"/>
  <c r="O50" i="4"/>
  <c r="C51" i="4"/>
  <c r="B51" i="4"/>
  <c r="O51" i="4"/>
  <c r="H53" i="4"/>
  <c r="S29" i="16"/>
  <c r="G29" i="16"/>
  <c r="AA43" i="4"/>
  <c r="AA42" i="4"/>
  <c r="U29" i="16"/>
  <c r="F2" i="16"/>
  <c r="S40" i="41"/>
  <c r="R2" i="41"/>
  <c r="R5" i="41"/>
  <c r="S5" i="41"/>
  <c r="R6" i="41"/>
  <c r="S6" i="41"/>
  <c r="R7" i="41"/>
  <c r="S7" i="41"/>
  <c r="R8" i="41"/>
  <c r="S8" i="41"/>
  <c r="R9" i="41"/>
  <c r="S9" i="41"/>
  <c r="R10" i="41"/>
  <c r="S10" i="41"/>
  <c r="R11" i="41"/>
  <c r="S11" i="41"/>
  <c r="S12" i="41"/>
  <c r="S13" i="41"/>
  <c r="R14" i="41"/>
  <c r="S14" i="41"/>
  <c r="R15" i="41"/>
  <c r="S15" i="41"/>
  <c r="R16" i="41"/>
  <c r="S16" i="41"/>
  <c r="R17" i="41"/>
  <c r="S17" i="41"/>
  <c r="R18" i="41"/>
  <c r="S18" i="41"/>
  <c r="R19" i="41"/>
  <c r="S19" i="41"/>
  <c r="R20" i="41"/>
  <c r="S20" i="41"/>
  <c r="S21" i="41"/>
  <c r="S22" i="41"/>
  <c r="R23" i="41"/>
  <c r="S23" i="41"/>
  <c r="R24" i="41"/>
  <c r="S24" i="41"/>
  <c r="R25" i="41"/>
  <c r="S25" i="41"/>
  <c r="R26" i="41"/>
  <c r="S26" i="41"/>
  <c r="R27" i="41"/>
  <c r="S27" i="41"/>
  <c r="R28" i="41"/>
  <c r="S28" i="41"/>
  <c r="R29" i="41"/>
  <c r="S29" i="41"/>
  <c r="S30" i="41"/>
  <c r="S31" i="41"/>
  <c r="R32" i="41"/>
  <c r="S32" i="41"/>
  <c r="R33" i="41"/>
  <c r="S33" i="41"/>
  <c r="R34" i="41"/>
  <c r="S34" i="41"/>
  <c r="R35" i="41"/>
  <c r="S35" i="41"/>
  <c r="R36" i="41"/>
  <c r="S36" i="41"/>
  <c r="R37" i="41"/>
  <c r="S37" i="41"/>
  <c r="R38" i="41"/>
  <c r="S38" i="41"/>
  <c r="S39" i="41"/>
  <c r="R41" i="41"/>
  <c r="S41" i="41"/>
  <c r="R42" i="41"/>
  <c r="S42" i="41"/>
  <c r="R43" i="41"/>
  <c r="S43" i="41"/>
  <c r="R44" i="41"/>
  <c r="S44" i="41"/>
  <c r="R45" i="41"/>
  <c r="S45" i="41"/>
  <c r="R46" i="41"/>
  <c r="S46" i="41"/>
  <c r="R47" i="41"/>
  <c r="S47" i="41"/>
  <c r="S48" i="41"/>
  <c r="S49" i="41"/>
  <c r="R50" i="41"/>
  <c r="S50" i="41"/>
  <c r="R51" i="41"/>
  <c r="S51" i="41"/>
  <c r="V5" i="41"/>
  <c r="V6" i="41"/>
  <c r="V7" i="41"/>
  <c r="V8" i="41"/>
  <c r="V9" i="41"/>
  <c r="V10" i="41"/>
  <c r="V11" i="41"/>
  <c r="V14" i="41"/>
  <c r="V15" i="41"/>
  <c r="V16" i="41"/>
  <c r="V17" i="41"/>
  <c r="V18" i="41"/>
  <c r="V19" i="41"/>
  <c r="V20" i="41"/>
  <c r="V23" i="41"/>
  <c r="V24" i="41"/>
  <c r="V25" i="41"/>
  <c r="V26" i="41"/>
  <c r="V27" i="41"/>
  <c r="V28" i="41"/>
  <c r="V29" i="41"/>
  <c r="V32" i="41"/>
  <c r="V33" i="41"/>
  <c r="V34" i="41"/>
  <c r="V35" i="41"/>
  <c r="V36" i="41"/>
  <c r="V37" i="41"/>
  <c r="V38" i="41"/>
  <c r="V41" i="41"/>
  <c r="V42" i="41"/>
  <c r="V43" i="41"/>
  <c r="V44" i="41"/>
  <c r="V45" i="41"/>
  <c r="V46" i="41"/>
  <c r="V47" i="41"/>
  <c r="V50" i="41"/>
  <c r="V51" i="41"/>
  <c r="L40" i="41"/>
  <c r="S40" i="40"/>
  <c r="R2" i="40"/>
  <c r="R5" i="40"/>
  <c r="S5" i="40"/>
  <c r="R6" i="40"/>
  <c r="S6" i="40"/>
  <c r="R7" i="40"/>
  <c r="S7" i="40"/>
  <c r="R8" i="40"/>
  <c r="S8" i="40"/>
  <c r="R9" i="40"/>
  <c r="S9" i="40"/>
  <c r="R10" i="40"/>
  <c r="S10" i="40"/>
  <c r="R11" i="40"/>
  <c r="S11" i="40"/>
  <c r="S12" i="40"/>
  <c r="S13" i="40"/>
  <c r="R14" i="40"/>
  <c r="S14" i="40"/>
  <c r="R15" i="40"/>
  <c r="S15" i="40"/>
  <c r="R16" i="40"/>
  <c r="S16" i="40"/>
  <c r="R17" i="40"/>
  <c r="S17" i="40"/>
  <c r="R18" i="40"/>
  <c r="S18" i="40"/>
  <c r="R19" i="40"/>
  <c r="S19" i="40"/>
  <c r="R20" i="40"/>
  <c r="S20" i="40"/>
  <c r="S21" i="40"/>
  <c r="S22" i="40"/>
  <c r="R23" i="40"/>
  <c r="S23" i="40"/>
  <c r="R24" i="40"/>
  <c r="S24" i="40"/>
  <c r="R25" i="40"/>
  <c r="S25" i="40"/>
  <c r="R26" i="40"/>
  <c r="S26" i="40"/>
  <c r="R27" i="40"/>
  <c r="S27" i="40"/>
  <c r="R28" i="40"/>
  <c r="S28" i="40"/>
  <c r="R29" i="40"/>
  <c r="S29" i="40"/>
  <c r="S30" i="40"/>
  <c r="S31" i="40"/>
  <c r="R32" i="40"/>
  <c r="S32" i="40"/>
  <c r="R33" i="40"/>
  <c r="S33" i="40"/>
  <c r="R34" i="40"/>
  <c r="S34" i="40"/>
  <c r="R35" i="40"/>
  <c r="S35" i="40"/>
  <c r="R36" i="40"/>
  <c r="S36" i="40"/>
  <c r="R37" i="40"/>
  <c r="S37" i="40"/>
  <c r="R38" i="40"/>
  <c r="S38" i="40"/>
  <c r="S39" i="40"/>
  <c r="R41" i="40"/>
  <c r="S41" i="40"/>
  <c r="R42" i="40"/>
  <c r="S42" i="40"/>
  <c r="R43" i="40"/>
  <c r="S43" i="40"/>
  <c r="R44" i="40"/>
  <c r="S44" i="40"/>
  <c r="R45" i="40"/>
  <c r="S45" i="40"/>
  <c r="R46" i="40"/>
  <c r="S46" i="40"/>
  <c r="R47" i="40"/>
  <c r="S47" i="40"/>
  <c r="S48" i="40"/>
  <c r="S49" i="40"/>
  <c r="R50" i="40"/>
  <c r="S50" i="40"/>
  <c r="R51" i="40"/>
  <c r="S51" i="40"/>
  <c r="V5" i="40"/>
  <c r="V6" i="40"/>
  <c r="V7" i="40"/>
  <c r="V8" i="40"/>
  <c r="V9" i="40"/>
  <c r="V10" i="40"/>
  <c r="V11" i="40"/>
  <c r="V14" i="40"/>
  <c r="V15" i="40"/>
  <c r="V16" i="40"/>
  <c r="V17" i="40"/>
  <c r="V18" i="40"/>
  <c r="V19" i="40"/>
  <c r="V20" i="40"/>
  <c r="V23" i="40"/>
  <c r="V24" i="40"/>
  <c r="V25" i="40"/>
  <c r="V26" i="40"/>
  <c r="V27" i="40"/>
  <c r="V28" i="40"/>
  <c r="V29" i="40"/>
  <c r="V32" i="40"/>
  <c r="V33" i="40"/>
  <c r="V34" i="40"/>
  <c r="V35" i="40"/>
  <c r="V36" i="40"/>
  <c r="V37" i="40"/>
  <c r="V38" i="40"/>
  <c r="V41" i="40"/>
  <c r="V42" i="40"/>
  <c r="V43" i="40"/>
  <c r="V44" i="40"/>
  <c r="V45" i="40"/>
  <c r="V46" i="40"/>
  <c r="V47" i="40"/>
  <c r="V50" i="40"/>
  <c r="V51" i="40"/>
  <c r="L40" i="40"/>
  <c r="S40" i="39"/>
  <c r="R2" i="39"/>
  <c r="R5" i="39"/>
  <c r="S5" i="39"/>
  <c r="R6" i="39"/>
  <c r="S6" i="39"/>
  <c r="R7" i="39"/>
  <c r="S7" i="39"/>
  <c r="R8" i="39"/>
  <c r="S8" i="39"/>
  <c r="R9" i="39"/>
  <c r="S9" i="39"/>
  <c r="R10" i="39"/>
  <c r="S10" i="39"/>
  <c r="R11" i="39"/>
  <c r="S11" i="39"/>
  <c r="S12" i="39"/>
  <c r="S13" i="39"/>
  <c r="R14" i="39"/>
  <c r="S14" i="39"/>
  <c r="R15" i="39"/>
  <c r="S15" i="39"/>
  <c r="R16" i="39"/>
  <c r="S16" i="39"/>
  <c r="R17" i="39"/>
  <c r="S17" i="39"/>
  <c r="R18" i="39"/>
  <c r="S18" i="39"/>
  <c r="R19" i="39"/>
  <c r="S19" i="39"/>
  <c r="R20" i="39"/>
  <c r="S20" i="39"/>
  <c r="S21" i="39"/>
  <c r="S22" i="39"/>
  <c r="R23" i="39"/>
  <c r="S23" i="39"/>
  <c r="R24" i="39"/>
  <c r="S24" i="39"/>
  <c r="R25" i="39"/>
  <c r="S25" i="39"/>
  <c r="R26" i="39"/>
  <c r="S26" i="39"/>
  <c r="R27" i="39"/>
  <c r="S27" i="39"/>
  <c r="R28" i="39"/>
  <c r="S28" i="39"/>
  <c r="R29" i="39"/>
  <c r="S29" i="39"/>
  <c r="S30" i="39"/>
  <c r="S31" i="39"/>
  <c r="R32" i="39"/>
  <c r="S32" i="39"/>
  <c r="R33" i="39"/>
  <c r="S33" i="39"/>
  <c r="R34" i="39"/>
  <c r="S34" i="39"/>
  <c r="R35" i="39"/>
  <c r="S35" i="39"/>
  <c r="R36" i="39"/>
  <c r="S36" i="39"/>
  <c r="R37" i="39"/>
  <c r="S37" i="39"/>
  <c r="R38" i="39"/>
  <c r="S38" i="39"/>
  <c r="S39" i="39"/>
  <c r="R41" i="39"/>
  <c r="S41" i="39"/>
  <c r="R42" i="39"/>
  <c r="S42" i="39"/>
  <c r="R43" i="39"/>
  <c r="S43" i="39"/>
  <c r="R44" i="39"/>
  <c r="S44" i="39"/>
  <c r="R45" i="39"/>
  <c r="S45" i="39"/>
  <c r="R46" i="39"/>
  <c r="S46" i="39"/>
  <c r="R47" i="39"/>
  <c r="S47" i="39"/>
  <c r="S48" i="39"/>
  <c r="S49" i="39"/>
  <c r="R50" i="39"/>
  <c r="S50" i="39"/>
  <c r="R51" i="39"/>
  <c r="S51" i="39"/>
  <c r="V5" i="39"/>
  <c r="V6" i="39"/>
  <c r="V7" i="39"/>
  <c r="V8" i="39"/>
  <c r="V9" i="39"/>
  <c r="V10" i="39"/>
  <c r="V11" i="39"/>
  <c r="V14" i="39"/>
  <c r="V15" i="39"/>
  <c r="V16" i="39"/>
  <c r="V17" i="39"/>
  <c r="V18" i="39"/>
  <c r="V19" i="39"/>
  <c r="V20" i="39"/>
  <c r="V23" i="39"/>
  <c r="V24" i="39"/>
  <c r="V25" i="39"/>
  <c r="V26" i="39"/>
  <c r="V27" i="39"/>
  <c r="V28" i="39"/>
  <c r="V29" i="39"/>
  <c r="V32" i="39"/>
  <c r="V33" i="39"/>
  <c r="V34" i="39"/>
  <c r="V35" i="39"/>
  <c r="V36" i="39"/>
  <c r="V37" i="39"/>
  <c r="V38" i="39"/>
  <c r="V41" i="39"/>
  <c r="V42" i="39"/>
  <c r="V43" i="39"/>
  <c r="V44" i="39"/>
  <c r="V45" i="39"/>
  <c r="V46" i="39"/>
  <c r="V47" i="39"/>
  <c r="V50" i="39"/>
  <c r="V51" i="39"/>
  <c r="L40" i="39"/>
  <c r="S40" i="38"/>
  <c r="R2" i="38"/>
  <c r="R26" i="38"/>
  <c r="S26" i="38"/>
  <c r="V26" i="38"/>
  <c r="R5" i="38"/>
  <c r="S5" i="38"/>
  <c r="R6" i="38"/>
  <c r="S6" i="38"/>
  <c r="R7" i="38"/>
  <c r="S7" i="38"/>
  <c r="R8" i="38"/>
  <c r="S8" i="38"/>
  <c r="R9" i="38"/>
  <c r="S9" i="38"/>
  <c r="R10" i="38"/>
  <c r="S10" i="38"/>
  <c r="R11" i="38"/>
  <c r="S11" i="38"/>
  <c r="S12" i="38"/>
  <c r="S13" i="38"/>
  <c r="R14" i="38"/>
  <c r="S14" i="38"/>
  <c r="R15" i="38"/>
  <c r="S15" i="38"/>
  <c r="R16" i="38"/>
  <c r="S16" i="38"/>
  <c r="R17" i="38"/>
  <c r="S17" i="38"/>
  <c r="R18" i="38"/>
  <c r="S18" i="38"/>
  <c r="R19" i="38"/>
  <c r="S19" i="38"/>
  <c r="R20" i="38"/>
  <c r="S20" i="38"/>
  <c r="S21" i="38"/>
  <c r="S22" i="38"/>
  <c r="R23" i="38"/>
  <c r="S23" i="38"/>
  <c r="R24" i="38"/>
  <c r="S24" i="38"/>
  <c r="R25" i="38"/>
  <c r="S25" i="38"/>
  <c r="R27" i="38"/>
  <c r="S27" i="38"/>
  <c r="R28" i="38"/>
  <c r="S28" i="38"/>
  <c r="R29" i="38"/>
  <c r="S29" i="38"/>
  <c r="S30" i="38"/>
  <c r="S31" i="38"/>
  <c r="R32" i="38"/>
  <c r="S32" i="38"/>
  <c r="R34" i="38"/>
  <c r="S34" i="38"/>
  <c r="R35" i="38"/>
  <c r="S35" i="38"/>
  <c r="R36" i="38"/>
  <c r="S36" i="38"/>
  <c r="R37" i="38"/>
  <c r="S37" i="38"/>
  <c r="R38" i="38"/>
  <c r="S38" i="38"/>
  <c r="S39" i="38"/>
  <c r="R41" i="38"/>
  <c r="S41" i="38"/>
  <c r="R42" i="38"/>
  <c r="S42" i="38"/>
  <c r="R43" i="38"/>
  <c r="S43" i="38"/>
  <c r="R44" i="38"/>
  <c r="S44" i="38"/>
  <c r="R45" i="38"/>
  <c r="S45" i="38"/>
  <c r="R46" i="38"/>
  <c r="S46" i="38"/>
  <c r="R47" i="38"/>
  <c r="S47" i="38"/>
  <c r="S48" i="38"/>
  <c r="S49" i="38"/>
  <c r="R50" i="38"/>
  <c r="S50" i="38"/>
  <c r="R51" i="38"/>
  <c r="S51" i="38"/>
  <c r="V5" i="38"/>
  <c r="V6" i="38"/>
  <c r="V7" i="38"/>
  <c r="V8" i="38"/>
  <c r="V9" i="38"/>
  <c r="V10" i="38"/>
  <c r="V11" i="38"/>
  <c r="V14" i="38"/>
  <c r="V15" i="38"/>
  <c r="V16" i="38"/>
  <c r="V17" i="38"/>
  <c r="V18" i="38"/>
  <c r="V19" i="38"/>
  <c r="V20" i="38"/>
  <c r="V23" i="38"/>
  <c r="V24" i="38"/>
  <c r="V25" i="38"/>
  <c r="V27" i="38"/>
  <c r="V28" i="38"/>
  <c r="V29" i="38"/>
  <c r="V32" i="38"/>
  <c r="V33" i="38"/>
  <c r="V34" i="38"/>
  <c r="V35" i="38"/>
  <c r="V36" i="38"/>
  <c r="V37" i="38"/>
  <c r="V38" i="38"/>
  <c r="V41" i="38"/>
  <c r="V42" i="38"/>
  <c r="V43" i="38"/>
  <c r="V44" i="38"/>
  <c r="V45" i="38"/>
  <c r="V46" i="38"/>
  <c r="V47" i="38"/>
  <c r="V50" i="38"/>
  <c r="V51" i="38"/>
  <c r="L40" i="38"/>
  <c r="S40" i="37"/>
  <c r="R2" i="37"/>
  <c r="R5" i="37"/>
  <c r="S5" i="37"/>
  <c r="R6" i="37"/>
  <c r="S6" i="37"/>
  <c r="R7" i="37"/>
  <c r="S7" i="37"/>
  <c r="R8" i="37"/>
  <c r="S8" i="37"/>
  <c r="R9" i="37"/>
  <c r="S9" i="37"/>
  <c r="R10" i="37"/>
  <c r="S10" i="37"/>
  <c r="R11" i="37"/>
  <c r="S11" i="37"/>
  <c r="S12" i="37"/>
  <c r="S13" i="37"/>
  <c r="R14" i="37"/>
  <c r="S14" i="37"/>
  <c r="R15" i="37"/>
  <c r="S15" i="37"/>
  <c r="R16" i="37"/>
  <c r="S16" i="37"/>
  <c r="R17" i="37"/>
  <c r="S17" i="37"/>
  <c r="R18" i="37"/>
  <c r="S18" i="37"/>
  <c r="R19" i="37"/>
  <c r="S19" i="37"/>
  <c r="R20" i="37"/>
  <c r="S20" i="37"/>
  <c r="S21" i="37"/>
  <c r="S22" i="37"/>
  <c r="R23" i="37"/>
  <c r="S23" i="37"/>
  <c r="R24" i="37"/>
  <c r="S24" i="37"/>
  <c r="R25" i="37"/>
  <c r="S25" i="37"/>
  <c r="R26" i="37"/>
  <c r="S26" i="37"/>
  <c r="R27" i="37"/>
  <c r="S27" i="37"/>
  <c r="R28" i="37"/>
  <c r="S28" i="37"/>
  <c r="R29" i="37"/>
  <c r="S29" i="37"/>
  <c r="S30" i="37"/>
  <c r="S31" i="37"/>
  <c r="R32" i="37"/>
  <c r="S32" i="37"/>
  <c r="R33" i="37"/>
  <c r="S33" i="37"/>
  <c r="R34" i="37"/>
  <c r="S34" i="37"/>
  <c r="R35" i="37"/>
  <c r="S35" i="37"/>
  <c r="R36" i="37"/>
  <c r="S36" i="37"/>
  <c r="R37" i="37"/>
  <c r="S37" i="37"/>
  <c r="R38" i="37"/>
  <c r="S38" i="37"/>
  <c r="S39" i="37"/>
  <c r="R41" i="37"/>
  <c r="S41" i="37"/>
  <c r="R42" i="37"/>
  <c r="S42" i="37"/>
  <c r="R43" i="37"/>
  <c r="S43" i="37"/>
  <c r="R44" i="37"/>
  <c r="S44" i="37"/>
  <c r="R45" i="37"/>
  <c r="S45" i="37"/>
  <c r="R46" i="37"/>
  <c r="S46" i="37"/>
  <c r="R47" i="37"/>
  <c r="S47" i="37"/>
  <c r="S48" i="37"/>
  <c r="S49" i="37"/>
  <c r="R50" i="37"/>
  <c r="S50" i="37"/>
  <c r="R51" i="37"/>
  <c r="S51" i="37"/>
  <c r="V5" i="37"/>
  <c r="V6" i="37"/>
  <c r="V7" i="37"/>
  <c r="V8" i="37"/>
  <c r="V9" i="37"/>
  <c r="V10" i="37"/>
  <c r="V11" i="37"/>
  <c r="V14" i="37"/>
  <c r="V15" i="37"/>
  <c r="V16" i="37"/>
  <c r="V17" i="37"/>
  <c r="V18" i="37"/>
  <c r="V19" i="37"/>
  <c r="V20" i="37"/>
  <c r="V23" i="37"/>
  <c r="V24" i="37"/>
  <c r="V25" i="37"/>
  <c r="V26" i="37"/>
  <c r="V27" i="37"/>
  <c r="V28" i="37"/>
  <c r="V29" i="37"/>
  <c r="V32" i="37"/>
  <c r="V33" i="37"/>
  <c r="V34" i="37"/>
  <c r="V35" i="37"/>
  <c r="V36" i="37"/>
  <c r="V37" i="37"/>
  <c r="V38" i="37"/>
  <c r="V41" i="37"/>
  <c r="V42" i="37"/>
  <c r="V43" i="37"/>
  <c r="V44" i="37"/>
  <c r="V45" i="37"/>
  <c r="V46" i="37"/>
  <c r="V47" i="37"/>
  <c r="V50" i="37"/>
  <c r="V51" i="37"/>
  <c r="L40" i="37"/>
  <c r="S40" i="36"/>
  <c r="R2" i="36"/>
  <c r="R5" i="36"/>
  <c r="S5" i="36"/>
  <c r="R6" i="36"/>
  <c r="S6" i="36"/>
  <c r="R7" i="36"/>
  <c r="S7" i="36"/>
  <c r="R8" i="36"/>
  <c r="S8" i="36"/>
  <c r="R9" i="36"/>
  <c r="S9" i="36"/>
  <c r="R10" i="36"/>
  <c r="S10" i="36"/>
  <c r="R11" i="36"/>
  <c r="S11" i="36"/>
  <c r="S12" i="36"/>
  <c r="S13" i="36"/>
  <c r="R14" i="36"/>
  <c r="S14" i="36"/>
  <c r="R15" i="36"/>
  <c r="S15" i="36"/>
  <c r="R16" i="36"/>
  <c r="S16" i="36"/>
  <c r="R17" i="36"/>
  <c r="S17" i="36"/>
  <c r="R18" i="36"/>
  <c r="S18" i="36"/>
  <c r="R19" i="36"/>
  <c r="S19" i="36"/>
  <c r="R20" i="36"/>
  <c r="S20" i="36"/>
  <c r="S21" i="36"/>
  <c r="S22" i="36"/>
  <c r="R23" i="36"/>
  <c r="S23" i="36"/>
  <c r="R24" i="36"/>
  <c r="S24" i="36"/>
  <c r="R25" i="36"/>
  <c r="S25" i="36"/>
  <c r="R26" i="36"/>
  <c r="S26" i="36"/>
  <c r="R27" i="36"/>
  <c r="S27" i="36"/>
  <c r="R28" i="36"/>
  <c r="S28" i="36"/>
  <c r="R29" i="36"/>
  <c r="S29" i="36"/>
  <c r="S30" i="36"/>
  <c r="S31" i="36"/>
  <c r="R32" i="36"/>
  <c r="S32" i="36"/>
  <c r="R33" i="36"/>
  <c r="S33" i="36"/>
  <c r="R34" i="36"/>
  <c r="S34" i="36"/>
  <c r="R35" i="36"/>
  <c r="S35" i="36"/>
  <c r="R36" i="36"/>
  <c r="S36" i="36"/>
  <c r="R37" i="36"/>
  <c r="S37" i="36"/>
  <c r="R38" i="36"/>
  <c r="S38" i="36"/>
  <c r="S39" i="36"/>
  <c r="R41" i="36"/>
  <c r="S41" i="36"/>
  <c r="R42" i="36"/>
  <c r="S42" i="36"/>
  <c r="R43" i="36"/>
  <c r="S43" i="36"/>
  <c r="R44" i="36"/>
  <c r="S44" i="36"/>
  <c r="R45" i="36"/>
  <c r="S45" i="36"/>
  <c r="R46" i="36"/>
  <c r="S46" i="36"/>
  <c r="R47" i="36"/>
  <c r="S47" i="36"/>
  <c r="S48" i="36"/>
  <c r="S49" i="36"/>
  <c r="R50" i="36"/>
  <c r="S50" i="36"/>
  <c r="R51" i="36"/>
  <c r="S51" i="36"/>
  <c r="V5" i="36"/>
  <c r="V6" i="36"/>
  <c r="V7" i="36"/>
  <c r="V8" i="36"/>
  <c r="V9" i="36"/>
  <c r="V10" i="36"/>
  <c r="V11" i="36"/>
  <c r="V14" i="36"/>
  <c r="V15" i="36"/>
  <c r="V16" i="36"/>
  <c r="V17" i="36"/>
  <c r="V18" i="36"/>
  <c r="V19" i="36"/>
  <c r="V20" i="36"/>
  <c r="V23" i="36"/>
  <c r="V24" i="36"/>
  <c r="V25" i="36"/>
  <c r="V26" i="36"/>
  <c r="V27" i="36"/>
  <c r="V28" i="36"/>
  <c r="V29" i="36"/>
  <c r="V32" i="36"/>
  <c r="V33" i="36"/>
  <c r="V34" i="36"/>
  <c r="V35" i="36"/>
  <c r="V36" i="36"/>
  <c r="V37" i="36"/>
  <c r="V38" i="36"/>
  <c r="V41" i="36"/>
  <c r="V42" i="36"/>
  <c r="V43" i="36"/>
  <c r="V44" i="36"/>
  <c r="V45" i="36"/>
  <c r="V46" i="36"/>
  <c r="V47" i="36"/>
  <c r="V50" i="36"/>
  <c r="V51" i="36"/>
  <c r="L40" i="36"/>
  <c r="S40" i="35"/>
  <c r="R2" i="35"/>
  <c r="R5" i="35"/>
  <c r="S5" i="35"/>
  <c r="R6" i="35"/>
  <c r="S6" i="35"/>
  <c r="R7" i="35"/>
  <c r="S7" i="35"/>
  <c r="R8" i="35"/>
  <c r="S8" i="35"/>
  <c r="R9" i="35"/>
  <c r="S9" i="35"/>
  <c r="R10" i="35"/>
  <c r="S10" i="35"/>
  <c r="R11" i="35"/>
  <c r="S11" i="35"/>
  <c r="S12" i="35"/>
  <c r="S13" i="35"/>
  <c r="R14" i="35"/>
  <c r="S14" i="35"/>
  <c r="R15" i="35"/>
  <c r="S15" i="35"/>
  <c r="R16" i="35"/>
  <c r="S16" i="35"/>
  <c r="R17" i="35"/>
  <c r="S17" i="35"/>
  <c r="R18" i="35"/>
  <c r="S18" i="35"/>
  <c r="R19" i="35"/>
  <c r="S19" i="35"/>
  <c r="R20" i="35"/>
  <c r="S20" i="35"/>
  <c r="S21" i="35"/>
  <c r="S22" i="35"/>
  <c r="R23" i="35"/>
  <c r="S23" i="35"/>
  <c r="R24" i="35"/>
  <c r="S24" i="35"/>
  <c r="R25" i="35"/>
  <c r="S25" i="35"/>
  <c r="R26" i="35"/>
  <c r="S26" i="35"/>
  <c r="R27" i="35"/>
  <c r="S27" i="35"/>
  <c r="R28" i="35"/>
  <c r="S28" i="35"/>
  <c r="R29" i="35"/>
  <c r="S29" i="35"/>
  <c r="S30" i="35"/>
  <c r="S31" i="35"/>
  <c r="R32" i="35"/>
  <c r="S32" i="35"/>
  <c r="R33" i="35"/>
  <c r="S33" i="35"/>
  <c r="R34" i="35"/>
  <c r="S34" i="35"/>
  <c r="R36" i="35"/>
  <c r="S36" i="35"/>
  <c r="R37" i="35"/>
  <c r="S37" i="35"/>
  <c r="R38" i="35"/>
  <c r="S38" i="35"/>
  <c r="S39" i="35"/>
  <c r="R41" i="35"/>
  <c r="S41" i="35"/>
  <c r="R42" i="35"/>
  <c r="S42" i="35"/>
  <c r="R43" i="35"/>
  <c r="S43" i="35"/>
  <c r="R44" i="35"/>
  <c r="S44" i="35"/>
  <c r="R45" i="35"/>
  <c r="S45" i="35"/>
  <c r="R46" i="35"/>
  <c r="S46" i="35"/>
  <c r="R47" i="35"/>
  <c r="S47" i="35"/>
  <c r="S48" i="35"/>
  <c r="S49" i="35"/>
  <c r="R50" i="35"/>
  <c r="S50" i="35"/>
  <c r="R51" i="35"/>
  <c r="S51" i="35"/>
  <c r="V5" i="35"/>
  <c r="V6" i="35"/>
  <c r="V7" i="35"/>
  <c r="V8" i="35"/>
  <c r="V9" i="35"/>
  <c r="V10" i="35"/>
  <c r="V11" i="35"/>
  <c r="V14" i="35"/>
  <c r="V15" i="35"/>
  <c r="V16" i="35"/>
  <c r="V17" i="35"/>
  <c r="V18" i="35"/>
  <c r="V19" i="35"/>
  <c r="V20" i="35"/>
  <c r="V23" i="35"/>
  <c r="V24" i="35"/>
  <c r="V25" i="35"/>
  <c r="V26" i="35"/>
  <c r="V27" i="35"/>
  <c r="V28" i="35"/>
  <c r="V29" i="35"/>
  <c r="V32" i="35"/>
  <c r="V33" i="35"/>
  <c r="V34" i="35"/>
  <c r="V35" i="35"/>
  <c r="V36" i="35"/>
  <c r="V37" i="35"/>
  <c r="V38" i="35"/>
  <c r="V41" i="35"/>
  <c r="V42" i="35"/>
  <c r="V43" i="35"/>
  <c r="V44" i="35"/>
  <c r="V45" i="35"/>
  <c r="V46" i="35"/>
  <c r="V47" i="35"/>
  <c r="V50" i="35"/>
  <c r="V51" i="35"/>
  <c r="L40" i="35"/>
  <c r="S40" i="34"/>
  <c r="R2" i="34"/>
  <c r="R5" i="34"/>
  <c r="S5" i="34"/>
  <c r="R6" i="34"/>
  <c r="S6" i="34"/>
  <c r="R7" i="34"/>
  <c r="S7" i="34"/>
  <c r="R8" i="34"/>
  <c r="S8" i="34"/>
  <c r="R9" i="34"/>
  <c r="S9" i="34"/>
  <c r="R10" i="34"/>
  <c r="S10" i="34"/>
  <c r="R11" i="34"/>
  <c r="S11" i="34"/>
  <c r="S12" i="34"/>
  <c r="S13" i="34"/>
  <c r="R14" i="34"/>
  <c r="S14" i="34"/>
  <c r="R15" i="34"/>
  <c r="S15" i="34"/>
  <c r="R16" i="34"/>
  <c r="S16" i="34"/>
  <c r="R17" i="34"/>
  <c r="S17" i="34"/>
  <c r="R18" i="34"/>
  <c r="S18" i="34"/>
  <c r="R19" i="34"/>
  <c r="S19" i="34"/>
  <c r="R20" i="34"/>
  <c r="S20" i="34"/>
  <c r="S21" i="34"/>
  <c r="S22" i="34"/>
  <c r="R23" i="34"/>
  <c r="S23" i="34"/>
  <c r="R24" i="34"/>
  <c r="S24" i="34"/>
  <c r="R25" i="34"/>
  <c r="S25" i="34"/>
  <c r="R26" i="34"/>
  <c r="S26" i="34"/>
  <c r="R27" i="34"/>
  <c r="S27" i="34"/>
  <c r="R28" i="34"/>
  <c r="S28" i="34"/>
  <c r="R29" i="34"/>
  <c r="S29" i="34"/>
  <c r="S30" i="34"/>
  <c r="S31" i="34"/>
  <c r="R32" i="34"/>
  <c r="S32" i="34"/>
  <c r="R33" i="34"/>
  <c r="S33" i="34"/>
  <c r="R34" i="34"/>
  <c r="S34" i="34"/>
  <c r="R35" i="34"/>
  <c r="S35" i="34"/>
  <c r="R36" i="34"/>
  <c r="S36" i="34"/>
  <c r="R37" i="34"/>
  <c r="S37" i="34"/>
  <c r="R38" i="34"/>
  <c r="S38" i="34"/>
  <c r="S39" i="34"/>
  <c r="R41" i="34"/>
  <c r="S41" i="34"/>
  <c r="R42" i="34"/>
  <c r="S42" i="34"/>
  <c r="R43" i="34"/>
  <c r="S43" i="34"/>
  <c r="R44" i="34"/>
  <c r="S44" i="34"/>
  <c r="R45" i="34"/>
  <c r="S45" i="34"/>
  <c r="R46" i="34"/>
  <c r="S46" i="34"/>
  <c r="R47" i="34"/>
  <c r="S47" i="34"/>
  <c r="S48" i="34"/>
  <c r="S49" i="34"/>
  <c r="R50" i="34"/>
  <c r="S50" i="34"/>
  <c r="R51" i="34"/>
  <c r="S51" i="34"/>
  <c r="V5" i="34"/>
  <c r="V6" i="34"/>
  <c r="V7" i="34"/>
  <c r="V8" i="34"/>
  <c r="V9" i="34"/>
  <c r="V10" i="34"/>
  <c r="V11" i="34"/>
  <c r="V14" i="34"/>
  <c r="V15" i="34"/>
  <c r="V16" i="34"/>
  <c r="V17" i="34"/>
  <c r="V18" i="34"/>
  <c r="V19" i="34"/>
  <c r="V20" i="34"/>
  <c r="V23" i="34"/>
  <c r="V24" i="34"/>
  <c r="V25" i="34"/>
  <c r="V26" i="34"/>
  <c r="V27" i="34"/>
  <c r="V28" i="34"/>
  <c r="V29" i="34"/>
  <c r="V32" i="34"/>
  <c r="V33" i="34"/>
  <c r="V34" i="34"/>
  <c r="V35" i="34"/>
  <c r="V36" i="34"/>
  <c r="V37" i="34"/>
  <c r="V38" i="34"/>
  <c r="V41" i="34"/>
  <c r="V42" i="34"/>
  <c r="V43" i="34"/>
  <c r="V44" i="34"/>
  <c r="V45" i="34"/>
  <c r="V46" i="34"/>
  <c r="V47" i="34"/>
  <c r="V50" i="34"/>
  <c r="V51" i="34"/>
  <c r="L40" i="34"/>
  <c r="S40" i="33"/>
  <c r="R2" i="33"/>
  <c r="R17" i="33"/>
  <c r="S17" i="33"/>
  <c r="V17" i="33"/>
  <c r="R5" i="33"/>
  <c r="S5" i="33"/>
  <c r="R6" i="33"/>
  <c r="S6" i="33"/>
  <c r="R7" i="33"/>
  <c r="S7" i="33"/>
  <c r="R8" i="33"/>
  <c r="S8" i="33"/>
  <c r="R9" i="33"/>
  <c r="S9" i="33"/>
  <c r="R10" i="33"/>
  <c r="S10" i="33"/>
  <c r="R11" i="33"/>
  <c r="S11" i="33"/>
  <c r="S12" i="33"/>
  <c r="S13" i="33"/>
  <c r="R14" i="33"/>
  <c r="S14" i="33"/>
  <c r="R15" i="33"/>
  <c r="S15" i="33"/>
  <c r="R16" i="33"/>
  <c r="S16" i="33"/>
  <c r="R18" i="33"/>
  <c r="S18" i="33"/>
  <c r="R19" i="33"/>
  <c r="S19" i="33"/>
  <c r="R20" i="33"/>
  <c r="S20" i="33"/>
  <c r="S21" i="33"/>
  <c r="S22" i="33"/>
  <c r="R23" i="33"/>
  <c r="S23" i="33"/>
  <c r="R24" i="33"/>
  <c r="S24" i="33"/>
  <c r="R25" i="33"/>
  <c r="S25" i="33"/>
  <c r="R26" i="33"/>
  <c r="S26" i="33"/>
  <c r="R27" i="33"/>
  <c r="S27" i="33"/>
  <c r="R28" i="33"/>
  <c r="S28" i="33"/>
  <c r="R29" i="33"/>
  <c r="S29" i="33"/>
  <c r="S30" i="33"/>
  <c r="S31" i="33"/>
  <c r="R32" i="33"/>
  <c r="S32" i="33"/>
  <c r="R33" i="33"/>
  <c r="S33" i="33"/>
  <c r="R34" i="33"/>
  <c r="S34" i="33"/>
  <c r="R35" i="33"/>
  <c r="S35" i="33"/>
  <c r="R36" i="33"/>
  <c r="S36" i="33"/>
  <c r="R37" i="33"/>
  <c r="S37" i="33"/>
  <c r="R38" i="33"/>
  <c r="S38" i="33"/>
  <c r="S39" i="33"/>
  <c r="R41" i="33"/>
  <c r="S41" i="33"/>
  <c r="R42" i="33"/>
  <c r="S42" i="33"/>
  <c r="R43" i="33"/>
  <c r="S43" i="33"/>
  <c r="R44" i="33"/>
  <c r="S44" i="33"/>
  <c r="R45" i="33"/>
  <c r="S45" i="33"/>
  <c r="R46" i="33"/>
  <c r="S46" i="33"/>
  <c r="R47" i="33"/>
  <c r="S47" i="33"/>
  <c r="S48" i="33"/>
  <c r="S49" i="33"/>
  <c r="R50" i="33"/>
  <c r="S50" i="33"/>
  <c r="R51" i="33"/>
  <c r="S51" i="33"/>
  <c r="V5" i="33"/>
  <c r="V6" i="33"/>
  <c r="V7" i="33"/>
  <c r="V8" i="33"/>
  <c r="V9" i="33"/>
  <c r="V10" i="33"/>
  <c r="V11" i="33"/>
  <c r="V14" i="33"/>
  <c r="V15" i="33"/>
  <c r="V16" i="33"/>
  <c r="V18" i="33"/>
  <c r="V19" i="33"/>
  <c r="V20" i="33"/>
  <c r="V23" i="33"/>
  <c r="V24" i="33"/>
  <c r="V25" i="33"/>
  <c r="V26" i="33"/>
  <c r="V27" i="33"/>
  <c r="V28" i="33"/>
  <c r="V29" i="33"/>
  <c r="V32" i="33"/>
  <c r="V33" i="33"/>
  <c r="V34" i="33"/>
  <c r="V35" i="33"/>
  <c r="V36" i="33"/>
  <c r="V37" i="33"/>
  <c r="V38" i="33"/>
  <c r="V41" i="33"/>
  <c r="V42" i="33"/>
  <c r="V43" i="33"/>
  <c r="V44" i="33"/>
  <c r="V45" i="33"/>
  <c r="V46" i="33"/>
  <c r="V47" i="33"/>
  <c r="V50" i="33"/>
  <c r="V51" i="33"/>
  <c r="L40" i="33"/>
  <c r="S40" i="32"/>
  <c r="R2" i="32"/>
  <c r="R17" i="32"/>
  <c r="S17" i="32"/>
  <c r="V17" i="32"/>
  <c r="R20" i="32"/>
  <c r="S20" i="32"/>
  <c r="V20" i="32"/>
  <c r="R5" i="32"/>
  <c r="S5" i="32"/>
  <c r="R6" i="32"/>
  <c r="S6" i="32"/>
  <c r="R7" i="32"/>
  <c r="S7" i="32"/>
  <c r="R8" i="32"/>
  <c r="S8" i="32"/>
  <c r="R9" i="32"/>
  <c r="S9" i="32"/>
  <c r="R10" i="32"/>
  <c r="S10" i="32"/>
  <c r="R11" i="32"/>
  <c r="S11" i="32"/>
  <c r="S12" i="32"/>
  <c r="S13" i="32"/>
  <c r="R14" i="32"/>
  <c r="S14" i="32"/>
  <c r="R15" i="32"/>
  <c r="S15" i="32"/>
  <c r="R16" i="32"/>
  <c r="S16" i="32"/>
  <c r="R18" i="32"/>
  <c r="S18" i="32"/>
  <c r="R19" i="32"/>
  <c r="S19" i="32"/>
  <c r="S21" i="32"/>
  <c r="S22" i="32"/>
  <c r="R23" i="32"/>
  <c r="S23" i="32"/>
  <c r="R24" i="32"/>
  <c r="S24" i="32"/>
  <c r="R25" i="32"/>
  <c r="S25" i="32"/>
  <c r="R26" i="32"/>
  <c r="S26" i="32"/>
  <c r="R27" i="32"/>
  <c r="S27" i="32"/>
  <c r="R28" i="32"/>
  <c r="S28" i="32"/>
  <c r="R29" i="32"/>
  <c r="S29" i="32"/>
  <c r="S30" i="32"/>
  <c r="S31" i="32"/>
  <c r="R32" i="32"/>
  <c r="S32" i="32"/>
  <c r="R33" i="32"/>
  <c r="S33" i="32"/>
  <c r="R34" i="32"/>
  <c r="S34" i="32"/>
  <c r="R35" i="32"/>
  <c r="S35" i="32"/>
  <c r="R36" i="32"/>
  <c r="S36" i="32"/>
  <c r="R37" i="32"/>
  <c r="S37" i="32"/>
  <c r="R38" i="32"/>
  <c r="S38" i="32"/>
  <c r="S39" i="32"/>
  <c r="R41" i="32"/>
  <c r="S41" i="32"/>
  <c r="R42" i="32"/>
  <c r="S42" i="32"/>
  <c r="R43" i="32"/>
  <c r="S43" i="32"/>
  <c r="R44" i="32"/>
  <c r="S44" i="32"/>
  <c r="R45" i="32"/>
  <c r="S45" i="32"/>
  <c r="R46" i="32"/>
  <c r="S46" i="32"/>
  <c r="R47" i="32"/>
  <c r="S47" i="32"/>
  <c r="S48" i="32"/>
  <c r="S49" i="32"/>
  <c r="R50" i="32"/>
  <c r="S50" i="32"/>
  <c r="R51" i="32"/>
  <c r="S51" i="32"/>
  <c r="V5" i="32"/>
  <c r="V6" i="32"/>
  <c r="V7" i="32"/>
  <c r="V8" i="32"/>
  <c r="V9" i="32"/>
  <c r="V10" i="32"/>
  <c r="V11" i="32"/>
  <c r="V14" i="32"/>
  <c r="V15" i="32"/>
  <c r="V16" i="32"/>
  <c r="V18" i="32"/>
  <c r="V19" i="32"/>
  <c r="V23" i="32"/>
  <c r="V24" i="32"/>
  <c r="V25" i="32"/>
  <c r="V26" i="32"/>
  <c r="V27" i="32"/>
  <c r="V28" i="32"/>
  <c r="V29" i="32"/>
  <c r="V32" i="32"/>
  <c r="V33" i="32"/>
  <c r="V34" i="32"/>
  <c r="V35" i="32"/>
  <c r="V36" i="32"/>
  <c r="V37" i="32"/>
  <c r="V38" i="32"/>
  <c r="V41" i="32"/>
  <c r="V42" i="32"/>
  <c r="V43" i="32"/>
  <c r="V44" i="32"/>
  <c r="V45" i="32"/>
  <c r="V46" i="32"/>
  <c r="V47" i="32"/>
  <c r="V50" i="32"/>
  <c r="V51" i="32"/>
  <c r="L40" i="32"/>
  <c r="S40" i="31"/>
  <c r="R2" i="31"/>
  <c r="R9" i="31"/>
  <c r="S9" i="31"/>
  <c r="V9" i="31"/>
  <c r="R10" i="31"/>
  <c r="S10" i="31"/>
  <c r="V10" i="31"/>
  <c r="R5" i="31"/>
  <c r="S5" i="31"/>
  <c r="R6" i="31"/>
  <c r="S6" i="31"/>
  <c r="R7" i="31"/>
  <c r="S7" i="31"/>
  <c r="R8" i="31"/>
  <c r="S8" i="31"/>
  <c r="R11" i="31"/>
  <c r="S11" i="31"/>
  <c r="S12" i="31"/>
  <c r="S13" i="31"/>
  <c r="R14" i="31"/>
  <c r="S14" i="31"/>
  <c r="R15" i="31"/>
  <c r="S15" i="31"/>
  <c r="R16" i="31"/>
  <c r="S16" i="31"/>
  <c r="R17" i="31"/>
  <c r="S17" i="31"/>
  <c r="R18" i="31"/>
  <c r="S18" i="31"/>
  <c r="R19" i="31"/>
  <c r="S19" i="31"/>
  <c r="R20" i="31"/>
  <c r="S20" i="31"/>
  <c r="S21" i="31"/>
  <c r="S22" i="31"/>
  <c r="R23" i="31"/>
  <c r="S23" i="31"/>
  <c r="R24" i="31"/>
  <c r="S24" i="31"/>
  <c r="R25" i="31"/>
  <c r="S25" i="31"/>
  <c r="R26" i="31"/>
  <c r="S26" i="31"/>
  <c r="R27" i="31"/>
  <c r="S27" i="31"/>
  <c r="R28" i="31"/>
  <c r="S28" i="31"/>
  <c r="R29" i="31"/>
  <c r="S29" i="31"/>
  <c r="S30" i="31"/>
  <c r="S31" i="31"/>
  <c r="R32" i="31"/>
  <c r="S32" i="31"/>
  <c r="R33" i="31"/>
  <c r="S33" i="31"/>
  <c r="R34" i="31"/>
  <c r="S34" i="31"/>
  <c r="R35" i="31"/>
  <c r="S35" i="31"/>
  <c r="R36" i="31"/>
  <c r="S36" i="31"/>
  <c r="R37" i="31"/>
  <c r="S37" i="31"/>
  <c r="R38" i="31"/>
  <c r="S38" i="31"/>
  <c r="S39" i="31"/>
  <c r="R41" i="31"/>
  <c r="S41" i="31"/>
  <c r="R42" i="31"/>
  <c r="S42" i="31"/>
  <c r="R43" i="31"/>
  <c r="S43" i="31"/>
  <c r="R44" i="31"/>
  <c r="S44" i="31"/>
  <c r="R45" i="31"/>
  <c r="S45" i="31"/>
  <c r="R46" i="31"/>
  <c r="S46" i="31"/>
  <c r="R47" i="31"/>
  <c r="S47" i="31"/>
  <c r="S48" i="31"/>
  <c r="S49" i="31"/>
  <c r="R50" i="31"/>
  <c r="S50" i="31"/>
  <c r="R51" i="31"/>
  <c r="S51" i="31"/>
  <c r="V5" i="31"/>
  <c r="V6" i="31"/>
  <c r="V7" i="31"/>
  <c r="V8" i="31"/>
  <c r="V11" i="31"/>
  <c r="V14" i="31"/>
  <c r="V15" i="31"/>
  <c r="V16" i="31"/>
  <c r="V17" i="31"/>
  <c r="V18" i="31"/>
  <c r="V19" i="31"/>
  <c r="V20" i="31"/>
  <c r="V23" i="31"/>
  <c r="V24" i="31"/>
  <c r="V25" i="31"/>
  <c r="V26" i="31"/>
  <c r="V27" i="31"/>
  <c r="V28" i="31"/>
  <c r="V29" i="31"/>
  <c r="V32" i="31"/>
  <c r="V33" i="31"/>
  <c r="V34" i="31"/>
  <c r="V35" i="31"/>
  <c r="V36" i="31"/>
  <c r="V37" i="31"/>
  <c r="V38" i="31"/>
  <c r="V41" i="31"/>
  <c r="V42" i="31"/>
  <c r="V43" i="31"/>
  <c r="V44" i="31"/>
  <c r="V45" i="31"/>
  <c r="V46" i="31"/>
  <c r="V47" i="31"/>
  <c r="V50" i="31"/>
  <c r="V51" i="31"/>
  <c r="L40" i="31"/>
  <c r="R2" i="4"/>
  <c r="R9" i="4"/>
  <c r="S9" i="4"/>
  <c r="S40" i="4"/>
  <c r="V9" i="4"/>
  <c r="R18" i="4"/>
  <c r="S18" i="4"/>
  <c r="V18" i="4"/>
  <c r="R19" i="4"/>
  <c r="S19" i="4"/>
  <c r="V19" i="4"/>
  <c r="R6" i="4"/>
  <c r="S6" i="4"/>
  <c r="R7" i="4"/>
  <c r="S7" i="4"/>
  <c r="R8" i="4"/>
  <c r="S8" i="4"/>
  <c r="R10" i="4"/>
  <c r="S10" i="4"/>
  <c r="R11" i="4"/>
  <c r="S11" i="4"/>
  <c r="V6" i="4"/>
  <c r="V7" i="4"/>
  <c r="V8" i="4"/>
  <c r="V10" i="4"/>
  <c r="V11" i="4"/>
  <c r="R5" i="4"/>
  <c r="S5" i="4"/>
  <c r="S12" i="4"/>
  <c r="S13" i="4"/>
  <c r="R14" i="4"/>
  <c r="S14" i="4"/>
  <c r="R15" i="4"/>
  <c r="S15" i="4"/>
  <c r="R16" i="4"/>
  <c r="S16" i="4"/>
  <c r="R17" i="4"/>
  <c r="S17" i="4"/>
  <c r="R20" i="4"/>
  <c r="S20" i="4"/>
  <c r="S21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S30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S39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S48" i="4"/>
  <c r="S49" i="4"/>
  <c r="R50" i="4"/>
  <c r="S50" i="4"/>
  <c r="R51" i="4"/>
  <c r="S51" i="4"/>
  <c r="V5" i="4"/>
  <c r="V14" i="4"/>
  <c r="V15" i="4"/>
  <c r="B16" i="4"/>
  <c r="V16" i="4"/>
  <c r="V17" i="4"/>
  <c r="V20" i="4"/>
  <c r="V23" i="4"/>
  <c r="V24" i="4"/>
  <c r="V25" i="4"/>
  <c r="V26" i="4"/>
  <c r="V27" i="4"/>
  <c r="V28" i="4"/>
  <c r="V29" i="4"/>
  <c r="V32" i="4"/>
  <c r="V33" i="4"/>
  <c r="V34" i="4"/>
  <c r="V35" i="4"/>
  <c r="V36" i="4"/>
  <c r="V37" i="4"/>
  <c r="V38" i="4"/>
  <c r="V41" i="4"/>
  <c r="V42" i="4"/>
  <c r="V43" i="4"/>
  <c r="V44" i="4"/>
  <c r="V45" i="4"/>
  <c r="V46" i="4"/>
  <c r="V47" i="4"/>
  <c r="V50" i="4"/>
  <c r="V51" i="4"/>
  <c r="L40" i="4"/>
  <c r="AA20" i="33"/>
  <c r="AA29" i="33"/>
  <c r="AA38" i="33"/>
  <c r="AA47" i="33"/>
  <c r="O5" i="33"/>
  <c r="C6" i="33"/>
  <c r="B6" i="33"/>
  <c r="O6" i="33"/>
  <c r="C7" i="33"/>
  <c r="B7" i="33"/>
  <c r="O7" i="33"/>
  <c r="C8" i="33"/>
  <c r="B8" i="33"/>
  <c r="O8" i="33"/>
  <c r="C9" i="33"/>
  <c r="B9" i="33"/>
  <c r="O9" i="33"/>
  <c r="C10" i="33"/>
  <c r="B10" i="33"/>
  <c r="O10" i="33"/>
  <c r="B11" i="33"/>
  <c r="O11" i="33"/>
  <c r="H13" i="33"/>
  <c r="O14" i="33"/>
  <c r="B15" i="33"/>
  <c r="O15" i="33"/>
  <c r="B16" i="33"/>
  <c r="O16" i="33"/>
  <c r="B17" i="33"/>
  <c r="O17" i="33"/>
  <c r="B18" i="33"/>
  <c r="O18" i="33"/>
  <c r="B19" i="33"/>
  <c r="O19" i="33"/>
  <c r="B20" i="33"/>
  <c r="O20" i="33"/>
  <c r="H22" i="33"/>
  <c r="O23" i="33"/>
  <c r="B24" i="33"/>
  <c r="O24" i="33"/>
  <c r="B25" i="33"/>
  <c r="O25" i="33"/>
  <c r="B26" i="33"/>
  <c r="O26" i="33"/>
  <c r="B27" i="33"/>
  <c r="O27" i="33"/>
  <c r="B28" i="33"/>
  <c r="O28" i="33"/>
  <c r="B29" i="33"/>
  <c r="O29" i="33"/>
  <c r="H31" i="33"/>
  <c r="O32" i="33"/>
  <c r="B33" i="33"/>
  <c r="O33" i="33"/>
  <c r="B34" i="33"/>
  <c r="O34" i="33"/>
  <c r="B35" i="33"/>
  <c r="O35" i="33"/>
  <c r="B36" i="33"/>
  <c r="O36" i="33"/>
  <c r="B37" i="33"/>
  <c r="O37" i="33"/>
  <c r="B38" i="33"/>
  <c r="O38" i="33"/>
  <c r="H40" i="33"/>
  <c r="O41" i="33"/>
  <c r="O42" i="33"/>
  <c r="O43" i="33"/>
  <c r="O44" i="33"/>
  <c r="O45" i="33"/>
  <c r="O46" i="33"/>
  <c r="O47" i="33"/>
  <c r="H49" i="33"/>
  <c r="M51" i="41"/>
  <c r="K51" i="41"/>
  <c r="M50" i="41"/>
  <c r="K50" i="41"/>
  <c r="J49" i="41"/>
  <c r="M47" i="41"/>
  <c r="K47" i="41"/>
  <c r="M46" i="41"/>
  <c r="K46" i="41"/>
  <c r="M45" i="41"/>
  <c r="K45" i="41"/>
  <c r="M44" i="41"/>
  <c r="K44" i="41"/>
  <c r="M43" i="41"/>
  <c r="K43" i="41"/>
  <c r="M42" i="41"/>
  <c r="K42" i="41"/>
  <c r="M41" i="41"/>
  <c r="K41" i="41"/>
  <c r="O5" i="41"/>
  <c r="C6" i="41"/>
  <c r="B6" i="41"/>
  <c r="O6" i="41"/>
  <c r="C7" i="41"/>
  <c r="B7" i="41"/>
  <c r="O7" i="41"/>
  <c r="C8" i="41"/>
  <c r="B8" i="41"/>
  <c r="O8" i="41"/>
  <c r="C9" i="41"/>
  <c r="B9" i="41"/>
  <c r="O9" i="41"/>
  <c r="C10" i="41"/>
  <c r="B10" i="41"/>
  <c r="O10" i="41"/>
  <c r="B11" i="41"/>
  <c r="O11" i="41"/>
  <c r="H13" i="41"/>
  <c r="O14" i="41"/>
  <c r="B15" i="41"/>
  <c r="O15" i="41"/>
  <c r="B16" i="41"/>
  <c r="O16" i="41"/>
  <c r="B17" i="41"/>
  <c r="O17" i="41"/>
  <c r="B18" i="41"/>
  <c r="O18" i="41"/>
  <c r="B19" i="41"/>
  <c r="O19" i="41"/>
  <c r="B20" i="41"/>
  <c r="O20" i="41"/>
  <c r="H22" i="41"/>
  <c r="O23" i="41"/>
  <c r="B24" i="41"/>
  <c r="O24" i="41"/>
  <c r="B25" i="41"/>
  <c r="O25" i="41"/>
  <c r="B26" i="41"/>
  <c r="O26" i="41"/>
  <c r="B27" i="41"/>
  <c r="O27" i="41"/>
  <c r="B28" i="41"/>
  <c r="O28" i="41"/>
  <c r="B29" i="41"/>
  <c r="O29" i="41"/>
  <c r="H31" i="41"/>
  <c r="O32" i="41"/>
  <c r="B33" i="41"/>
  <c r="O33" i="41"/>
  <c r="B34" i="41"/>
  <c r="O34" i="41"/>
  <c r="B35" i="41"/>
  <c r="O35" i="41"/>
  <c r="B36" i="41"/>
  <c r="O36" i="41"/>
  <c r="B37" i="41"/>
  <c r="O37" i="41"/>
  <c r="B38" i="41"/>
  <c r="O38" i="41"/>
  <c r="H40" i="41"/>
  <c r="O41" i="41"/>
  <c r="O42" i="41"/>
  <c r="O43" i="41"/>
  <c r="O44" i="41"/>
  <c r="O45" i="41"/>
  <c r="O46" i="41"/>
  <c r="O47" i="41"/>
  <c r="H49" i="41"/>
  <c r="M38" i="41"/>
  <c r="K38" i="41"/>
  <c r="M37" i="41"/>
  <c r="K37" i="41"/>
  <c r="M36" i="41"/>
  <c r="K36" i="41"/>
  <c r="M35" i="41"/>
  <c r="K35" i="41"/>
  <c r="M34" i="41"/>
  <c r="K34" i="41"/>
  <c r="M33" i="41"/>
  <c r="K33" i="41"/>
  <c r="M32" i="41"/>
  <c r="K32" i="41"/>
  <c r="J31" i="41"/>
  <c r="M29" i="41"/>
  <c r="K29" i="41"/>
  <c r="M28" i="41"/>
  <c r="K28" i="41"/>
  <c r="M27" i="41"/>
  <c r="K27" i="41"/>
  <c r="M26" i="41"/>
  <c r="K26" i="41"/>
  <c r="M25" i="41"/>
  <c r="K25" i="41"/>
  <c r="M24" i="41"/>
  <c r="K24" i="41"/>
  <c r="M23" i="41"/>
  <c r="K23" i="41"/>
  <c r="J21" i="41"/>
  <c r="M20" i="41"/>
  <c r="K20" i="41"/>
  <c r="M19" i="41"/>
  <c r="K19" i="41"/>
  <c r="M18" i="41"/>
  <c r="K18" i="41"/>
  <c r="M17" i="41"/>
  <c r="K17" i="41"/>
  <c r="M16" i="41"/>
  <c r="K16" i="41"/>
  <c r="M15" i="41"/>
  <c r="K15" i="41"/>
  <c r="M14" i="41"/>
  <c r="K14" i="41"/>
  <c r="J13" i="41"/>
  <c r="M11" i="41"/>
  <c r="K11" i="41"/>
  <c r="M10" i="41"/>
  <c r="K10" i="41"/>
  <c r="M9" i="41"/>
  <c r="K9" i="41"/>
  <c r="M8" i="41"/>
  <c r="K8" i="41"/>
  <c r="M7" i="41"/>
  <c r="K7" i="41"/>
  <c r="M6" i="41"/>
  <c r="K6" i="41"/>
  <c r="M5" i="41"/>
  <c r="K5" i="41"/>
  <c r="M51" i="40"/>
  <c r="K51" i="40"/>
  <c r="M50" i="40"/>
  <c r="K50" i="40"/>
  <c r="J49" i="40"/>
  <c r="M47" i="40"/>
  <c r="K47" i="40"/>
  <c r="M46" i="40"/>
  <c r="K46" i="40"/>
  <c r="M45" i="40"/>
  <c r="K45" i="40"/>
  <c r="M44" i="40"/>
  <c r="K44" i="40"/>
  <c r="M43" i="40"/>
  <c r="K43" i="40"/>
  <c r="M42" i="40"/>
  <c r="K42" i="40"/>
  <c r="M41" i="40"/>
  <c r="K41" i="40"/>
  <c r="O5" i="40"/>
  <c r="C6" i="40"/>
  <c r="B6" i="40"/>
  <c r="O6" i="40"/>
  <c r="C7" i="40"/>
  <c r="B7" i="40"/>
  <c r="O7" i="40"/>
  <c r="F3" i="40"/>
  <c r="G3" i="40"/>
  <c r="C8" i="40"/>
  <c r="B8" i="40"/>
  <c r="A3" i="40"/>
  <c r="O8" i="40"/>
  <c r="C9" i="40"/>
  <c r="B9" i="40"/>
  <c r="O9" i="40"/>
  <c r="C10" i="40"/>
  <c r="B10" i="40"/>
  <c r="O10" i="40"/>
  <c r="B11" i="40"/>
  <c r="O11" i="40"/>
  <c r="H13" i="40"/>
  <c r="O14" i="40"/>
  <c r="B15" i="40"/>
  <c r="O15" i="40"/>
  <c r="B16" i="40"/>
  <c r="O16" i="40"/>
  <c r="B17" i="40"/>
  <c r="O17" i="40"/>
  <c r="B18" i="40"/>
  <c r="O18" i="40"/>
  <c r="B19" i="40"/>
  <c r="O19" i="40"/>
  <c r="B20" i="40"/>
  <c r="O20" i="40"/>
  <c r="H22" i="40"/>
  <c r="O23" i="40"/>
  <c r="B24" i="40"/>
  <c r="O24" i="40"/>
  <c r="B25" i="40"/>
  <c r="O25" i="40"/>
  <c r="B26" i="40"/>
  <c r="O26" i="40"/>
  <c r="B27" i="40"/>
  <c r="O27" i="40"/>
  <c r="B28" i="40"/>
  <c r="O28" i="40"/>
  <c r="B29" i="40"/>
  <c r="O29" i="40"/>
  <c r="H31" i="40"/>
  <c r="O32" i="40"/>
  <c r="B33" i="40"/>
  <c r="O33" i="40"/>
  <c r="B34" i="40"/>
  <c r="O34" i="40"/>
  <c r="B35" i="40"/>
  <c r="O35" i="40"/>
  <c r="B36" i="40"/>
  <c r="O36" i="40"/>
  <c r="B37" i="40"/>
  <c r="O37" i="40"/>
  <c r="B38" i="40"/>
  <c r="O38" i="40"/>
  <c r="H40" i="40"/>
  <c r="O41" i="40"/>
  <c r="O42" i="40"/>
  <c r="O43" i="40"/>
  <c r="O44" i="40"/>
  <c r="O45" i="40"/>
  <c r="O46" i="40"/>
  <c r="O47" i="40"/>
  <c r="H49" i="40"/>
  <c r="M38" i="40"/>
  <c r="K38" i="40"/>
  <c r="M37" i="40"/>
  <c r="K37" i="40"/>
  <c r="M36" i="40"/>
  <c r="K36" i="40"/>
  <c r="M35" i="40"/>
  <c r="K35" i="40"/>
  <c r="M34" i="40"/>
  <c r="K34" i="40"/>
  <c r="M33" i="40"/>
  <c r="K33" i="40"/>
  <c r="M32" i="40"/>
  <c r="K32" i="40"/>
  <c r="J31" i="40"/>
  <c r="M29" i="40"/>
  <c r="K29" i="40"/>
  <c r="M28" i="40"/>
  <c r="K28" i="40"/>
  <c r="M27" i="40"/>
  <c r="K27" i="40"/>
  <c r="M26" i="40"/>
  <c r="K26" i="40"/>
  <c r="M25" i="40"/>
  <c r="K25" i="40"/>
  <c r="M24" i="40"/>
  <c r="K24" i="40"/>
  <c r="M23" i="40"/>
  <c r="K23" i="40"/>
  <c r="J21" i="40"/>
  <c r="M20" i="40"/>
  <c r="K20" i="40"/>
  <c r="M19" i="40"/>
  <c r="K19" i="40"/>
  <c r="M18" i="40"/>
  <c r="K18" i="40"/>
  <c r="M17" i="40"/>
  <c r="K17" i="40"/>
  <c r="M16" i="40"/>
  <c r="K16" i="40"/>
  <c r="M15" i="40"/>
  <c r="K15" i="40"/>
  <c r="M14" i="40"/>
  <c r="K14" i="40"/>
  <c r="J13" i="40"/>
  <c r="M11" i="40"/>
  <c r="K11" i="40"/>
  <c r="M10" i="40"/>
  <c r="K10" i="40"/>
  <c r="M9" i="40"/>
  <c r="K9" i="40"/>
  <c r="M8" i="40"/>
  <c r="K8" i="40"/>
  <c r="M7" i="40"/>
  <c r="K7" i="40"/>
  <c r="M6" i="40"/>
  <c r="K6" i="40"/>
  <c r="M5" i="40"/>
  <c r="K5" i="40"/>
  <c r="M51" i="39"/>
  <c r="K51" i="39"/>
  <c r="M50" i="39"/>
  <c r="K50" i="39"/>
  <c r="J49" i="39"/>
  <c r="M47" i="39"/>
  <c r="K47" i="39"/>
  <c r="M46" i="39"/>
  <c r="K46" i="39"/>
  <c r="M45" i="39"/>
  <c r="K45" i="39"/>
  <c r="M44" i="39"/>
  <c r="K44" i="39"/>
  <c r="M43" i="39"/>
  <c r="K43" i="39"/>
  <c r="M42" i="39"/>
  <c r="K42" i="39"/>
  <c r="M41" i="39"/>
  <c r="K41" i="39"/>
  <c r="F3" i="39"/>
  <c r="G3" i="39"/>
  <c r="A3" i="39"/>
  <c r="O5" i="39"/>
  <c r="C6" i="39"/>
  <c r="B6" i="39"/>
  <c r="O6" i="39"/>
  <c r="C7" i="39"/>
  <c r="B7" i="39"/>
  <c r="O7" i="39"/>
  <c r="C8" i="39"/>
  <c r="B8" i="39"/>
  <c r="O8" i="39"/>
  <c r="C9" i="39"/>
  <c r="B9" i="39"/>
  <c r="O9" i="39"/>
  <c r="C10" i="39"/>
  <c r="B10" i="39"/>
  <c r="O10" i="39"/>
  <c r="B11" i="39"/>
  <c r="O11" i="39"/>
  <c r="H13" i="39"/>
  <c r="O14" i="39"/>
  <c r="B15" i="39"/>
  <c r="O15" i="39"/>
  <c r="B16" i="39"/>
  <c r="O16" i="39"/>
  <c r="B17" i="39"/>
  <c r="O17" i="39"/>
  <c r="B18" i="39"/>
  <c r="O18" i="39"/>
  <c r="B19" i="39"/>
  <c r="O19" i="39"/>
  <c r="B20" i="39"/>
  <c r="O20" i="39"/>
  <c r="H22" i="39"/>
  <c r="O23" i="39"/>
  <c r="B24" i="39"/>
  <c r="O24" i="39"/>
  <c r="B25" i="39"/>
  <c r="O25" i="39"/>
  <c r="B26" i="39"/>
  <c r="O26" i="39"/>
  <c r="B27" i="39"/>
  <c r="O27" i="39"/>
  <c r="B28" i="39"/>
  <c r="O28" i="39"/>
  <c r="B29" i="39"/>
  <c r="O29" i="39"/>
  <c r="H31" i="39"/>
  <c r="O32" i="39"/>
  <c r="B33" i="39"/>
  <c r="O33" i="39"/>
  <c r="B34" i="39"/>
  <c r="O34" i="39"/>
  <c r="B35" i="39"/>
  <c r="O35" i="39"/>
  <c r="B36" i="39"/>
  <c r="O36" i="39"/>
  <c r="B37" i="39"/>
  <c r="O37" i="39"/>
  <c r="B38" i="39"/>
  <c r="O38" i="39"/>
  <c r="H40" i="39"/>
  <c r="O41" i="39"/>
  <c r="O42" i="39"/>
  <c r="O43" i="39"/>
  <c r="O44" i="39"/>
  <c r="O45" i="39"/>
  <c r="O46" i="39"/>
  <c r="O47" i="39"/>
  <c r="H49" i="39"/>
  <c r="M38" i="39"/>
  <c r="K38" i="39"/>
  <c r="M37" i="39"/>
  <c r="K37" i="39"/>
  <c r="M36" i="39"/>
  <c r="K36" i="39"/>
  <c r="M35" i="39"/>
  <c r="K35" i="39"/>
  <c r="M34" i="39"/>
  <c r="K34" i="39"/>
  <c r="M33" i="39"/>
  <c r="K33" i="39"/>
  <c r="M32" i="39"/>
  <c r="K32" i="39"/>
  <c r="J31" i="39"/>
  <c r="M29" i="39"/>
  <c r="K29" i="39"/>
  <c r="M28" i="39"/>
  <c r="K28" i="39"/>
  <c r="M27" i="39"/>
  <c r="K27" i="39"/>
  <c r="M26" i="39"/>
  <c r="K26" i="39"/>
  <c r="M25" i="39"/>
  <c r="K25" i="39"/>
  <c r="M24" i="39"/>
  <c r="K24" i="39"/>
  <c r="M23" i="39"/>
  <c r="K23" i="39"/>
  <c r="J21" i="39"/>
  <c r="M20" i="39"/>
  <c r="K20" i="39"/>
  <c r="M19" i="39"/>
  <c r="K19" i="39"/>
  <c r="M18" i="39"/>
  <c r="K18" i="39"/>
  <c r="M17" i="39"/>
  <c r="K17" i="39"/>
  <c r="M16" i="39"/>
  <c r="K16" i="39"/>
  <c r="M15" i="39"/>
  <c r="K15" i="39"/>
  <c r="M14" i="39"/>
  <c r="K14" i="39"/>
  <c r="J13" i="39"/>
  <c r="M11" i="39"/>
  <c r="K11" i="39"/>
  <c r="M10" i="39"/>
  <c r="K10" i="39"/>
  <c r="M9" i="39"/>
  <c r="K9" i="39"/>
  <c r="M8" i="39"/>
  <c r="K8" i="39"/>
  <c r="M7" i="39"/>
  <c r="K7" i="39"/>
  <c r="M6" i="39"/>
  <c r="K6" i="39"/>
  <c r="M5" i="39"/>
  <c r="K5" i="39"/>
  <c r="M51" i="38"/>
  <c r="K51" i="38"/>
  <c r="M50" i="38"/>
  <c r="K50" i="38"/>
  <c r="J49" i="38"/>
  <c r="M47" i="38"/>
  <c r="K47" i="38"/>
  <c r="M46" i="38"/>
  <c r="K46" i="38"/>
  <c r="M45" i="38"/>
  <c r="K45" i="38"/>
  <c r="M44" i="38"/>
  <c r="K44" i="38"/>
  <c r="M43" i="38"/>
  <c r="K43" i="38"/>
  <c r="M42" i="38"/>
  <c r="K42" i="38"/>
  <c r="M41" i="38"/>
  <c r="K41" i="38"/>
  <c r="AA29" i="38"/>
  <c r="AA38" i="38"/>
  <c r="AA47" i="38"/>
  <c r="O5" i="38"/>
  <c r="C6" i="38"/>
  <c r="B6" i="38"/>
  <c r="O6" i="38"/>
  <c r="C7" i="38"/>
  <c r="B7" i="38"/>
  <c r="O7" i="38"/>
  <c r="C8" i="38"/>
  <c r="B8" i="38"/>
  <c r="O8" i="38"/>
  <c r="C9" i="38"/>
  <c r="B9" i="38"/>
  <c r="O9" i="38"/>
  <c r="F3" i="38"/>
  <c r="G3" i="38"/>
  <c r="C10" i="38"/>
  <c r="B10" i="38"/>
  <c r="A3" i="38"/>
  <c r="O10" i="38"/>
  <c r="B11" i="38"/>
  <c r="O11" i="38"/>
  <c r="H13" i="38"/>
  <c r="O14" i="38"/>
  <c r="B15" i="38"/>
  <c r="O15" i="38"/>
  <c r="B16" i="38"/>
  <c r="O16" i="38"/>
  <c r="B17" i="38"/>
  <c r="O17" i="38"/>
  <c r="B18" i="38"/>
  <c r="O18" i="38"/>
  <c r="B19" i="38"/>
  <c r="O19" i="38"/>
  <c r="B20" i="38"/>
  <c r="O20" i="38"/>
  <c r="H22" i="38"/>
  <c r="O23" i="38"/>
  <c r="B24" i="38"/>
  <c r="O24" i="38"/>
  <c r="B25" i="38"/>
  <c r="O25" i="38"/>
  <c r="B26" i="38"/>
  <c r="O26" i="38"/>
  <c r="B27" i="38"/>
  <c r="O27" i="38"/>
  <c r="B28" i="38"/>
  <c r="O28" i="38"/>
  <c r="B29" i="38"/>
  <c r="O29" i="38"/>
  <c r="H31" i="38"/>
  <c r="O32" i="38"/>
  <c r="B33" i="38"/>
  <c r="O33" i="38"/>
  <c r="B34" i="38"/>
  <c r="O34" i="38"/>
  <c r="B35" i="38"/>
  <c r="O35" i="38"/>
  <c r="B36" i="38"/>
  <c r="O36" i="38"/>
  <c r="B37" i="38"/>
  <c r="O37" i="38"/>
  <c r="B38" i="38"/>
  <c r="O38" i="38"/>
  <c r="H40" i="38"/>
  <c r="O41" i="38"/>
  <c r="O42" i="38"/>
  <c r="O43" i="38"/>
  <c r="O44" i="38"/>
  <c r="O45" i="38"/>
  <c r="O46" i="38"/>
  <c r="O47" i="38"/>
  <c r="H49" i="38"/>
  <c r="M38" i="38"/>
  <c r="K38" i="38"/>
  <c r="M37" i="38"/>
  <c r="K37" i="38"/>
  <c r="M36" i="38"/>
  <c r="K36" i="38"/>
  <c r="M35" i="38"/>
  <c r="K35" i="38"/>
  <c r="M34" i="38"/>
  <c r="K34" i="38"/>
  <c r="M33" i="38"/>
  <c r="K33" i="38"/>
  <c r="M32" i="38"/>
  <c r="K32" i="38"/>
  <c r="J31" i="38"/>
  <c r="M29" i="38"/>
  <c r="K29" i="38"/>
  <c r="M28" i="38"/>
  <c r="K28" i="38"/>
  <c r="M27" i="38"/>
  <c r="K27" i="38"/>
  <c r="M26" i="38"/>
  <c r="K26" i="38"/>
  <c r="M25" i="38"/>
  <c r="K25" i="38"/>
  <c r="M24" i="38"/>
  <c r="K24" i="38"/>
  <c r="M23" i="38"/>
  <c r="K23" i="38"/>
  <c r="J21" i="38"/>
  <c r="M20" i="38"/>
  <c r="K20" i="38"/>
  <c r="M19" i="38"/>
  <c r="K19" i="38"/>
  <c r="M18" i="38"/>
  <c r="K18" i="38"/>
  <c r="M17" i="38"/>
  <c r="K17" i="38"/>
  <c r="M16" i="38"/>
  <c r="K16" i="38"/>
  <c r="M15" i="38"/>
  <c r="K15" i="38"/>
  <c r="M14" i="38"/>
  <c r="K14" i="38"/>
  <c r="J13" i="38"/>
  <c r="M11" i="38"/>
  <c r="K11" i="38"/>
  <c r="M10" i="38"/>
  <c r="K10" i="38"/>
  <c r="M9" i="38"/>
  <c r="K9" i="38"/>
  <c r="M8" i="38"/>
  <c r="K8" i="38"/>
  <c r="M7" i="38"/>
  <c r="K7" i="38"/>
  <c r="M6" i="38"/>
  <c r="K6" i="38"/>
  <c r="M5" i="38"/>
  <c r="K5" i="38"/>
  <c r="M51" i="37"/>
  <c r="K51" i="37"/>
  <c r="M50" i="37"/>
  <c r="K50" i="37"/>
  <c r="J49" i="37"/>
  <c r="M47" i="37"/>
  <c r="K47" i="37"/>
  <c r="M46" i="37"/>
  <c r="K46" i="37"/>
  <c r="M45" i="37"/>
  <c r="K45" i="37"/>
  <c r="M44" i="37"/>
  <c r="K44" i="37"/>
  <c r="M43" i="37"/>
  <c r="K43" i="37"/>
  <c r="M42" i="37"/>
  <c r="K42" i="37"/>
  <c r="M41" i="37"/>
  <c r="K41" i="37"/>
  <c r="O5" i="37"/>
  <c r="C6" i="37"/>
  <c r="B6" i="37"/>
  <c r="O6" i="37"/>
  <c r="F3" i="37"/>
  <c r="G3" i="37"/>
  <c r="C7" i="37"/>
  <c r="B7" i="37"/>
  <c r="A3" i="37"/>
  <c r="O7" i="37"/>
  <c r="C8" i="37"/>
  <c r="B8" i="37"/>
  <c r="O8" i="37"/>
  <c r="C9" i="37"/>
  <c r="B9" i="37"/>
  <c r="O9" i="37"/>
  <c r="C10" i="37"/>
  <c r="B10" i="37"/>
  <c r="O10" i="37"/>
  <c r="B11" i="37"/>
  <c r="O11" i="37"/>
  <c r="H13" i="37"/>
  <c r="O14" i="37"/>
  <c r="B15" i="37"/>
  <c r="O15" i="37"/>
  <c r="B16" i="37"/>
  <c r="O16" i="37"/>
  <c r="B17" i="37"/>
  <c r="O17" i="37"/>
  <c r="B18" i="37"/>
  <c r="O18" i="37"/>
  <c r="B19" i="37"/>
  <c r="O19" i="37"/>
  <c r="B20" i="37"/>
  <c r="O20" i="37"/>
  <c r="H22" i="37"/>
  <c r="O23" i="37"/>
  <c r="B24" i="37"/>
  <c r="O24" i="37"/>
  <c r="B25" i="37"/>
  <c r="O25" i="37"/>
  <c r="B26" i="37"/>
  <c r="O26" i="37"/>
  <c r="B27" i="37"/>
  <c r="O27" i="37"/>
  <c r="B28" i="37"/>
  <c r="O28" i="37"/>
  <c r="B29" i="37"/>
  <c r="O29" i="37"/>
  <c r="H31" i="37"/>
  <c r="O32" i="37"/>
  <c r="B33" i="37"/>
  <c r="O33" i="37"/>
  <c r="B34" i="37"/>
  <c r="O34" i="37"/>
  <c r="B35" i="37"/>
  <c r="O35" i="37"/>
  <c r="B36" i="37"/>
  <c r="O36" i="37"/>
  <c r="B37" i="37"/>
  <c r="O37" i="37"/>
  <c r="B38" i="37"/>
  <c r="O38" i="37"/>
  <c r="H40" i="37"/>
  <c r="O41" i="37"/>
  <c r="O42" i="37"/>
  <c r="O43" i="37"/>
  <c r="O44" i="37"/>
  <c r="O45" i="37"/>
  <c r="O46" i="37"/>
  <c r="O47" i="37"/>
  <c r="H49" i="37"/>
  <c r="M38" i="37"/>
  <c r="K38" i="37"/>
  <c r="M37" i="37"/>
  <c r="K37" i="37"/>
  <c r="M36" i="37"/>
  <c r="K36" i="37"/>
  <c r="M35" i="37"/>
  <c r="K35" i="37"/>
  <c r="M34" i="37"/>
  <c r="K34" i="37"/>
  <c r="M33" i="37"/>
  <c r="K33" i="37"/>
  <c r="M32" i="37"/>
  <c r="K32" i="37"/>
  <c r="J31" i="37"/>
  <c r="M29" i="37"/>
  <c r="K29" i="37"/>
  <c r="M28" i="37"/>
  <c r="K28" i="37"/>
  <c r="M27" i="37"/>
  <c r="K27" i="37"/>
  <c r="M26" i="37"/>
  <c r="K26" i="37"/>
  <c r="M25" i="37"/>
  <c r="K25" i="37"/>
  <c r="M24" i="37"/>
  <c r="K24" i="37"/>
  <c r="M23" i="37"/>
  <c r="K23" i="37"/>
  <c r="J21" i="37"/>
  <c r="M20" i="37"/>
  <c r="K20" i="37"/>
  <c r="M19" i="37"/>
  <c r="K19" i="37"/>
  <c r="M18" i="37"/>
  <c r="K18" i="37"/>
  <c r="M17" i="37"/>
  <c r="K17" i="37"/>
  <c r="M16" i="37"/>
  <c r="K16" i="37"/>
  <c r="M15" i="37"/>
  <c r="K15" i="37"/>
  <c r="M14" i="37"/>
  <c r="K14" i="37"/>
  <c r="J13" i="37"/>
  <c r="M11" i="37"/>
  <c r="K11" i="37"/>
  <c r="M10" i="37"/>
  <c r="K10" i="37"/>
  <c r="M9" i="37"/>
  <c r="K9" i="37"/>
  <c r="M8" i="37"/>
  <c r="K8" i="37"/>
  <c r="M7" i="37"/>
  <c r="K7" i="37"/>
  <c r="M6" i="37"/>
  <c r="K6" i="37"/>
  <c r="M5" i="37"/>
  <c r="K5" i="37"/>
  <c r="M51" i="36"/>
  <c r="K51" i="36"/>
  <c r="M50" i="36"/>
  <c r="K50" i="36"/>
  <c r="J49" i="36"/>
  <c r="M47" i="36"/>
  <c r="K47" i="36"/>
  <c r="M46" i="36"/>
  <c r="K46" i="36"/>
  <c r="M45" i="36"/>
  <c r="K45" i="36"/>
  <c r="M44" i="36"/>
  <c r="K44" i="36"/>
  <c r="M43" i="36"/>
  <c r="K43" i="36"/>
  <c r="M42" i="36"/>
  <c r="K42" i="36"/>
  <c r="M41" i="36"/>
  <c r="K41" i="36"/>
  <c r="O5" i="36"/>
  <c r="C6" i="36"/>
  <c r="B6" i="36"/>
  <c r="O6" i="36"/>
  <c r="C7" i="36"/>
  <c r="B7" i="36"/>
  <c r="O7" i="36"/>
  <c r="C8" i="36"/>
  <c r="B8" i="36"/>
  <c r="O8" i="36"/>
  <c r="C9" i="36"/>
  <c r="B9" i="36"/>
  <c r="O9" i="36"/>
  <c r="C10" i="36"/>
  <c r="B10" i="36"/>
  <c r="O10" i="36"/>
  <c r="B11" i="36"/>
  <c r="O11" i="36"/>
  <c r="H13" i="36"/>
  <c r="O14" i="36"/>
  <c r="B15" i="36"/>
  <c r="O15" i="36"/>
  <c r="B16" i="36"/>
  <c r="O16" i="36"/>
  <c r="B17" i="36"/>
  <c r="O17" i="36"/>
  <c r="B18" i="36"/>
  <c r="O18" i="36"/>
  <c r="B19" i="36"/>
  <c r="O19" i="36"/>
  <c r="B20" i="36"/>
  <c r="O20" i="36"/>
  <c r="H22" i="36"/>
  <c r="O23" i="36"/>
  <c r="B24" i="36"/>
  <c r="O24" i="36"/>
  <c r="B25" i="36"/>
  <c r="O25" i="36"/>
  <c r="B26" i="36"/>
  <c r="O26" i="36"/>
  <c r="B27" i="36"/>
  <c r="O27" i="36"/>
  <c r="B28" i="36"/>
  <c r="O28" i="36"/>
  <c r="B29" i="36"/>
  <c r="O29" i="36"/>
  <c r="H31" i="36"/>
  <c r="O32" i="36"/>
  <c r="B33" i="36"/>
  <c r="O33" i="36"/>
  <c r="B34" i="36"/>
  <c r="O34" i="36"/>
  <c r="B35" i="36"/>
  <c r="O35" i="36"/>
  <c r="B36" i="36"/>
  <c r="O36" i="36"/>
  <c r="B37" i="36"/>
  <c r="O37" i="36"/>
  <c r="B38" i="36"/>
  <c r="O38" i="36"/>
  <c r="H40" i="36"/>
  <c r="O41" i="36"/>
  <c r="O42" i="36"/>
  <c r="O43" i="36"/>
  <c r="O44" i="36"/>
  <c r="O45" i="36"/>
  <c r="O46" i="36"/>
  <c r="O47" i="36"/>
  <c r="H49" i="36"/>
  <c r="M38" i="36"/>
  <c r="K38" i="36"/>
  <c r="M37" i="36"/>
  <c r="K37" i="36"/>
  <c r="M36" i="36"/>
  <c r="K36" i="36"/>
  <c r="M35" i="36"/>
  <c r="K35" i="36"/>
  <c r="M34" i="36"/>
  <c r="K34" i="36"/>
  <c r="M33" i="36"/>
  <c r="K33" i="36"/>
  <c r="M32" i="36"/>
  <c r="K32" i="36"/>
  <c r="J31" i="36"/>
  <c r="M29" i="36"/>
  <c r="K29" i="36"/>
  <c r="M28" i="36"/>
  <c r="K28" i="36"/>
  <c r="M27" i="36"/>
  <c r="K27" i="36"/>
  <c r="M26" i="36"/>
  <c r="K26" i="36"/>
  <c r="M25" i="36"/>
  <c r="K25" i="36"/>
  <c r="M24" i="36"/>
  <c r="K24" i="36"/>
  <c r="M23" i="36"/>
  <c r="K23" i="36"/>
  <c r="J21" i="36"/>
  <c r="M20" i="36"/>
  <c r="K20" i="36"/>
  <c r="M19" i="36"/>
  <c r="K19" i="36"/>
  <c r="M18" i="36"/>
  <c r="K18" i="36"/>
  <c r="M17" i="36"/>
  <c r="K17" i="36"/>
  <c r="M16" i="36"/>
  <c r="K16" i="36"/>
  <c r="M15" i="36"/>
  <c r="K15" i="36"/>
  <c r="M14" i="36"/>
  <c r="K14" i="36"/>
  <c r="J13" i="36"/>
  <c r="M11" i="36"/>
  <c r="K11" i="36"/>
  <c r="M10" i="36"/>
  <c r="K10" i="36"/>
  <c r="M9" i="36"/>
  <c r="K9" i="36"/>
  <c r="M8" i="36"/>
  <c r="K8" i="36"/>
  <c r="M7" i="36"/>
  <c r="K7" i="36"/>
  <c r="M6" i="36"/>
  <c r="K6" i="36"/>
  <c r="M5" i="36"/>
  <c r="K5" i="36"/>
  <c r="M51" i="35"/>
  <c r="K51" i="35"/>
  <c r="M50" i="35"/>
  <c r="K50" i="35"/>
  <c r="J49" i="35"/>
  <c r="M47" i="35"/>
  <c r="K47" i="35"/>
  <c r="M46" i="35"/>
  <c r="K46" i="35"/>
  <c r="M45" i="35"/>
  <c r="K45" i="35"/>
  <c r="M44" i="35"/>
  <c r="K44" i="35"/>
  <c r="M43" i="35"/>
  <c r="K43" i="35"/>
  <c r="M42" i="35"/>
  <c r="K42" i="35"/>
  <c r="M41" i="35"/>
  <c r="K41" i="35"/>
  <c r="O5" i="35"/>
  <c r="C6" i="35"/>
  <c r="B6" i="35"/>
  <c r="O6" i="35"/>
  <c r="C7" i="35"/>
  <c r="B7" i="35"/>
  <c r="O7" i="35"/>
  <c r="C8" i="35"/>
  <c r="B8" i="35"/>
  <c r="O8" i="35"/>
  <c r="F3" i="35"/>
  <c r="G3" i="35"/>
  <c r="C9" i="35"/>
  <c r="B9" i="35"/>
  <c r="A3" i="35"/>
  <c r="O9" i="35"/>
  <c r="C10" i="35"/>
  <c r="B10" i="35"/>
  <c r="O10" i="35"/>
  <c r="B11" i="35"/>
  <c r="O11" i="35"/>
  <c r="H13" i="35"/>
  <c r="O14" i="35"/>
  <c r="B15" i="35"/>
  <c r="O15" i="35"/>
  <c r="B16" i="35"/>
  <c r="O16" i="35"/>
  <c r="B17" i="35"/>
  <c r="O17" i="35"/>
  <c r="B18" i="35"/>
  <c r="O18" i="35"/>
  <c r="B19" i="35"/>
  <c r="O19" i="35"/>
  <c r="B20" i="35"/>
  <c r="O20" i="35"/>
  <c r="H22" i="35"/>
  <c r="O23" i="35"/>
  <c r="B24" i="35"/>
  <c r="O24" i="35"/>
  <c r="B25" i="35"/>
  <c r="O25" i="35"/>
  <c r="B26" i="35"/>
  <c r="O26" i="35"/>
  <c r="B27" i="35"/>
  <c r="O27" i="35"/>
  <c r="B28" i="35"/>
  <c r="O28" i="35"/>
  <c r="B29" i="35"/>
  <c r="O29" i="35"/>
  <c r="H31" i="35"/>
  <c r="O32" i="35"/>
  <c r="B33" i="35"/>
  <c r="O33" i="35"/>
  <c r="B34" i="35"/>
  <c r="O34" i="35"/>
  <c r="B35" i="35"/>
  <c r="O35" i="35"/>
  <c r="B36" i="35"/>
  <c r="O36" i="35"/>
  <c r="B37" i="35"/>
  <c r="O37" i="35"/>
  <c r="B38" i="35"/>
  <c r="O38" i="35"/>
  <c r="H40" i="35"/>
  <c r="O41" i="35"/>
  <c r="O42" i="35"/>
  <c r="O43" i="35"/>
  <c r="O44" i="35"/>
  <c r="O45" i="35"/>
  <c r="O46" i="35"/>
  <c r="O47" i="35"/>
  <c r="H49" i="35"/>
  <c r="M38" i="35"/>
  <c r="K38" i="35"/>
  <c r="M37" i="35"/>
  <c r="K37" i="35"/>
  <c r="M36" i="35"/>
  <c r="K36" i="35"/>
  <c r="M35" i="35"/>
  <c r="K35" i="35"/>
  <c r="M34" i="35"/>
  <c r="K34" i="35"/>
  <c r="M33" i="35"/>
  <c r="K33" i="35"/>
  <c r="M32" i="35"/>
  <c r="K32" i="35"/>
  <c r="J31" i="35"/>
  <c r="M29" i="35"/>
  <c r="K29" i="35"/>
  <c r="M28" i="35"/>
  <c r="K28" i="35"/>
  <c r="M27" i="35"/>
  <c r="K27" i="35"/>
  <c r="M26" i="35"/>
  <c r="K26" i="35"/>
  <c r="M25" i="35"/>
  <c r="K25" i="35"/>
  <c r="M24" i="35"/>
  <c r="K24" i="35"/>
  <c r="M23" i="35"/>
  <c r="K23" i="35"/>
  <c r="J21" i="35"/>
  <c r="M20" i="35"/>
  <c r="K20" i="35"/>
  <c r="M19" i="35"/>
  <c r="K19" i="35"/>
  <c r="M18" i="35"/>
  <c r="K18" i="35"/>
  <c r="M17" i="35"/>
  <c r="K17" i="35"/>
  <c r="M16" i="35"/>
  <c r="K16" i="35"/>
  <c r="M15" i="35"/>
  <c r="K15" i="35"/>
  <c r="M14" i="35"/>
  <c r="K14" i="35"/>
  <c r="J13" i="35"/>
  <c r="M11" i="35"/>
  <c r="K11" i="35"/>
  <c r="M10" i="35"/>
  <c r="K10" i="35"/>
  <c r="M9" i="35"/>
  <c r="K9" i="35"/>
  <c r="M8" i="35"/>
  <c r="K8" i="35"/>
  <c r="M7" i="35"/>
  <c r="K7" i="35"/>
  <c r="M6" i="35"/>
  <c r="K6" i="35"/>
  <c r="M5" i="35"/>
  <c r="K5" i="35"/>
  <c r="M51" i="34"/>
  <c r="K51" i="34"/>
  <c r="M50" i="34"/>
  <c r="K50" i="34"/>
  <c r="J49" i="34"/>
  <c r="M47" i="34"/>
  <c r="K47" i="34"/>
  <c r="M46" i="34"/>
  <c r="K46" i="34"/>
  <c r="M45" i="34"/>
  <c r="K45" i="34"/>
  <c r="M44" i="34"/>
  <c r="K44" i="34"/>
  <c r="M43" i="34"/>
  <c r="K43" i="34"/>
  <c r="M42" i="34"/>
  <c r="K42" i="34"/>
  <c r="M41" i="34"/>
  <c r="K41" i="34"/>
  <c r="O5" i="34"/>
  <c r="G3" i="34"/>
  <c r="F3" i="34"/>
  <c r="C6" i="34"/>
  <c r="B6" i="34"/>
  <c r="A3" i="34"/>
  <c r="O6" i="34"/>
  <c r="C7" i="34"/>
  <c r="B7" i="34"/>
  <c r="O7" i="34"/>
  <c r="C8" i="34"/>
  <c r="B8" i="34"/>
  <c r="O8" i="34"/>
  <c r="C9" i="34"/>
  <c r="B9" i="34"/>
  <c r="O9" i="34"/>
  <c r="C10" i="34"/>
  <c r="B10" i="34"/>
  <c r="O10" i="34"/>
  <c r="B11" i="34"/>
  <c r="O11" i="34"/>
  <c r="H13" i="34"/>
  <c r="O14" i="34"/>
  <c r="B15" i="34"/>
  <c r="O15" i="34"/>
  <c r="B16" i="34"/>
  <c r="O16" i="34"/>
  <c r="B17" i="34"/>
  <c r="O17" i="34"/>
  <c r="B18" i="34"/>
  <c r="O18" i="34"/>
  <c r="B19" i="34"/>
  <c r="O19" i="34"/>
  <c r="B20" i="34"/>
  <c r="O20" i="34"/>
  <c r="H22" i="34"/>
  <c r="O23" i="34"/>
  <c r="B24" i="34"/>
  <c r="O24" i="34"/>
  <c r="B25" i="34"/>
  <c r="O25" i="34"/>
  <c r="B26" i="34"/>
  <c r="O26" i="34"/>
  <c r="B27" i="34"/>
  <c r="O27" i="34"/>
  <c r="B28" i="34"/>
  <c r="O28" i="34"/>
  <c r="B29" i="34"/>
  <c r="O29" i="34"/>
  <c r="H31" i="34"/>
  <c r="O32" i="34"/>
  <c r="B33" i="34"/>
  <c r="O33" i="34"/>
  <c r="B34" i="34"/>
  <c r="O34" i="34"/>
  <c r="B35" i="34"/>
  <c r="O35" i="34"/>
  <c r="B36" i="34"/>
  <c r="O36" i="34"/>
  <c r="B37" i="34"/>
  <c r="O37" i="34"/>
  <c r="B38" i="34"/>
  <c r="O38" i="34"/>
  <c r="H40" i="34"/>
  <c r="O41" i="34"/>
  <c r="O42" i="34"/>
  <c r="O43" i="34"/>
  <c r="O44" i="34"/>
  <c r="O45" i="34"/>
  <c r="O46" i="34"/>
  <c r="O47" i="34"/>
  <c r="H49" i="34"/>
  <c r="M38" i="34"/>
  <c r="K38" i="34"/>
  <c r="M37" i="34"/>
  <c r="K37" i="34"/>
  <c r="M36" i="34"/>
  <c r="K36" i="34"/>
  <c r="M35" i="34"/>
  <c r="K35" i="34"/>
  <c r="M34" i="34"/>
  <c r="K34" i="34"/>
  <c r="M33" i="34"/>
  <c r="K33" i="34"/>
  <c r="M32" i="34"/>
  <c r="K32" i="34"/>
  <c r="J31" i="34"/>
  <c r="M29" i="34"/>
  <c r="K29" i="34"/>
  <c r="M28" i="34"/>
  <c r="K28" i="34"/>
  <c r="M27" i="34"/>
  <c r="K27" i="34"/>
  <c r="M26" i="34"/>
  <c r="K26" i="34"/>
  <c r="M25" i="34"/>
  <c r="K25" i="34"/>
  <c r="M24" i="34"/>
  <c r="K24" i="34"/>
  <c r="M23" i="34"/>
  <c r="K23" i="34"/>
  <c r="J21" i="34"/>
  <c r="M20" i="34"/>
  <c r="K20" i="34"/>
  <c r="M19" i="34"/>
  <c r="K19" i="34"/>
  <c r="M18" i="34"/>
  <c r="K18" i="34"/>
  <c r="M17" i="34"/>
  <c r="K17" i="34"/>
  <c r="M16" i="34"/>
  <c r="K16" i="34"/>
  <c r="M15" i="34"/>
  <c r="K15" i="34"/>
  <c r="M14" i="34"/>
  <c r="K14" i="34"/>
  <c r="J13" i="34"/>
  <c r="M11" i="34"/>
  <c r="K11" i="34"/>
  <c r="M10" i="34"/>
  <c r="K10" i="34"/>
  <c r="M9" i="34"/>
  <c r="K9" i="34"/>
  <c r="M8" i="34"/>
  <c r="K8" i="34"/>
  <c r="M7" i="34"/>
  <c r="K7" i="34"/>
  <c r="M6" i="34"/>
  <c r="K6" i="34"/>
  <c r="M5" i="34"/>
  <c r="K5" i="34"/>
  <c r="M51" i="33"/>
  <c r="K51" i="33"/>
  <c r="M50" i="33"/>
  <c r="K50" i="33"/>
  <c r="J49" i="33"/>
  <c r="M47" i="33"/>
  <c r="K47" i="33"/>
  <c r="M46" i="33"/>
  <c r="K46" i="33"/>
  <c r="M45" i="33"/>
  <c r="K45" i="33"/>
  <c r="M44" i="33"/>
  <c r="K44" i="33"/>
  <c r="M43" i="33"/>
  <c r="K43" i="33"/>
  <c r="M42" i="33"/>
  <c r="K42" i="33"/>
  <c r="M41" i="33"/>
  <c r="K41" i="33"/>
  <c r="M38" i="33"/>
  <c r="K38" i="33"/>
  <c r="M37" i="33"/>
  <c r="K37" i="33"/>
  <c r="M36" i="33"/>
  <c r="K36" i="33"/>
  <c r="M35" i="33"/>
  <c r="K35" i="33"/>
  <c r="M34" i="33"/>
  <c r="K34" i="33"/>
  <c r="M33" i="33"/>
  <c r="K33" i="33"/>
  <c r="M32" i="33"/>
  <c r="K32" i="33"/>
  <c r="J31" i="33"/>
  <c r="M29" i="33"/>
  <c r="K29" i="33"/>
  <c r="M28" i="33"/>
  <c r="K28" i="33"/>
  <c r="M27" i="33"/>
  <c r="K27" i="33"/>
  <c r="M26" i="33"/>
  <c r="K26" i="33"/>
  <c r="M25" i="33"/>
  <c r="K25" i="33"/>
  <c r="M24" i="33"/>
  <c r="K24" i="33"/>
  <c r="M23" i="33"/>
  <c r="K23" i="33"/>
  <c r="J21" i="33"/>
  <c r="M20" i="33"/>
  <c r="K20" i="33"/>
  <c r="M19" i="33"/>
  <c r="K19" i="33"/>
  <c r="M18" i="33"/>
  <c r="K18" i="33"/>
  <c r="M17" i="33"/>
  <c r="K17" i="33"/>
  <c r="M16" i="33"/>
  <c r="K16" i="33"/>
  <c r="M15" i="33"/>
  <c r="K15" i="33"/>
  <c r="M14" i="33"/>
  <c r="K14" i="33"/>
  <c r="J13" i="33"/>
  <c r="M11" i="33"/>
  <c r="K11" i="33"/>
  <c r="M10" i="33"/>
  <c r="K10" i="33"/>
  <c r="M9" i="33"/>
  <c r="K9" i="33"/>
  <c r="M8" i="33"/>
  <c r="K8" i="33"/>
  <c r="M7" i="33"/>
  <c r="K7" i="33"/>
  <c r="M6" i="33"/>
  <c r="K6" i="33"/>
  <c r="M5" i="33"/>
  <c r="K5" i="33"/>
  <c r="M51" i="32"/>
  <c r="K51" i="32"/>
  <c r="M50" i="32"/>
  <c r="K50" i="32"/>
  <c r="J49" i="32"/>
  <c r="M47" i="32"/>
  <c r="K47" i="32"/>
  <c r="M46" i="32"/>
  <c r="K46" i="32"/>
  <c r="M45" i="32"/>
  <c r="K45" i="32"/>
  <c r="M44" i="32"/>
  <c r="K44" i="32"/>
  <c r="M43" i="32"/>
  <c r="K43" i="32"/>
  <c r="M42" i="32"/>
  <c r="K42" i="32"/>
  <c r="M41" i="32"/>
  <c r="K41" i="32"/>
  <c r="AA20" i="32"/>
  <c r="AA29" i="32"/>
  <c r="AA38" i="32"/>
  <c r="AA47" i="32"/>
  <c r="O5" i="32"/>
  <c r="C6" i="32"/>
  <c r="B6" i="32"/>
  <c r="O6" i="32"/>
  <c r="C7" i="32"/>
  <c r="B7" i="32"/>
  <c r="O7" i="32"/>
  <c r="G3" i="32"/>
  <c r="F3" i="32"/>
  <c r="C8" i="32"/>
  <c r="B8" i="32"/>
  <c r="A3" i="32"/>
  <c r="O8" i="32"/>
  <c r="C9" i="32"/>
  <c r="B9" i="32"/>
  <c r="O9" i="32"/>
  <c r="C10" i="32"/>
  <c r="B10" i="32"/>
  <c r="O10" i="32"/>
  <c r="B11" i="32"/>
  <c r="O11" i="32"/>
  <c r="H13" i="32"/>
  <c r="O14" i="32"/>
  <c r="B15" i="32"/>
  <c r="O15" i="32"/>
  <c r="B16" i="32"/>
  <c r="O16" i="32"/>
  <c r="B17" i="32"/>
  <c r="O17" i="32"/>
  <c r="B18" i="32"/>
  <c r="O18" i="32"/>
  <c r="B19" i="32"/>
  <c r="O19" i="32"/>
  <c r="B20" i="32"/>
  <c r="O20" i="32"/>
  <c r="H22" i="32"/>
  <c r="O23" i="32"/>
  <c r="B24" i="32"/>
  <c r="O24" i="32"/>
  <c r="B25" i="32"/>
  <c r="O25" i="32"/>
  <c r="B26" i="32"/>
  <c r="O26" i="32"/>
  <c r="B27" i="32"/>
  <c r="O27" i="32"/>
  <c r="B28" i="32"/>
  <c r="O28" i="32"/>
  <c r="B29" i="32"/>
  <c r="O29" i="32"/>
  <c r="H31" i="32"/>
  <c r="O32" i="32"/>
  <c r="B33" i="32"/>
  <c r="O33" i="32"/>
  <c r="B34" i="32"/>
  <c r="O34" i="32"/>
  <c r="B35" i="32"/>
  <c r="O35" i="32"/>
  <c r="B36" i="32"/>
  <c r="O36" i="32"/>
  <c r="B37" i="32"/>
  <c r="O37" i="32"/>
  <c r="B38" i="32"/>
  <c r="O38" i="32"/>
  <c r="H40" i="32"/>
  <c r="O41" i="32"/>
  <c r="O42" i="32"/>
  <c r="O43" i="32"/>
  <c r="O44" i="32"/>
  <c r="O45" i="32"/>
  <c r="O46" i="32"/>
  <c r="O47" i="32"/>
  <c r="H49" i="32"/>
  <c r="M38" i="32"/>
  <c r="K38" i="32"/>
  <c r="M37" i="32"/>
  <c r="K37" i="32"/>
  <c r="M36" i="32"/>
  <c r="K36" i="32"/>
  <c r="M35" i="32"/>
  <c r="K35" i="32"/>
  <c r="M34" i="32"/>
  <c r="K34" i="32"/>
  <c r="M33" i="32"/>
  <c r="K33" i="32"/>
  <c r="M32" i="32"/>
  <c r="K32" i="32"/>
  <c r="J31" i="32"/>
  <c r="M29" i="32"/>
  <c r="K29" i="32"/>
  <c r="M28" i="32"/>
  <c r="K28" i="32"/>
  <c r="M27" i="32"/>
  <c r="K27" i="32"/>
  <c r="M26" i="32"/>
  <c r="K26" i="32"/>
  <c r="M25" i="32"/>
  <c r="K25" i="32"/>
  <c r="M24" i="32"/>
  <c r="K24" i="32"/>
  <c r="M23" i="32"/>
  <c r="K23" i="32"/>
  <c r="J21" i="32"/>
  <c r="M20" i="32"/>
  <c r="K20" i="32"/>
  <c r="M19" i="32"/>
  <c r="K19" i="32"/>
  <c r="M18" i="32"/>
  <c r="K18" i="32"/>
  <c r="M17" i="32"/>
  <c r="K17" i="32"/>
  <c r="M16" i="32"/>
  <c r="K16" i="32"/>
  <c r="M15" i="32"/>
  <c r="K15" i="32"/>
  <c r="M14" i="32"/>
  <c r="K14" i="32"/>
  <c r="J13" i="32"/>
  <c r="M11" i="32"/>
  <c r="K11" i="32"/>
  <c r="M10" i="32"/>
  <c r="K10" i="32"/>
  <c r="M9" i="32"/>
  <c r="K9" i="32"/>
  <c r="M8" i="32"/>
  <c r="K8" i="32"/>
  <c r="M7" i="32"/>
  <c r="K7" i="32"/>
  <c r="M6" i="32"/>
  <c r="K6" i="32"/>
  <c r="M5" i="32"/>
  <c r="K5" i="32"/>
  <c r="J13" i="4"/>
  <c r="J31" i="4"/>
  <c r="J49" i="4"/>
  <c r="AF26" i="16"/>
  <c r="AG26" i="16"/>
  <c r="AH26" i="16"/>
  <c r="AI26" i="16"/>
  <c r="AJ26" i="16"/>
  <c r="AF25" i="16"/>
  <c r="AG25" i="16"/>
  <c r="AH25" i="16"/>
  <c r="AI25" i="16"/>
  <c r="AJ25" i="16"/>
  <c r="AF28" i="16"/>
  <c r="AF44" i="16"/>
  <c r="J53" i="4"/>
  <c r="J21" i="4"/>
  <c r="N53" i="4"/>
  <c r="M51" i="4"/>
  <c r="K51" i="4"/>
  <c r="M50" i="4"/>
  <c r="K50" i="4"/>
  <c r="M47" i="4"/>
  <c r="K47" i="4"/>
  <c r="M46" i="4"/>
  <c r="K46" i="4"/>
  <c r="M45" i="4"/>
  <c r="K45" i="4"/>
  <c r="M44" i="4"/>
  <c r="K44" i="4"/>
  <c r="M43" i="4"/>
  <c r="K43" i="4"/>
  <c r="M42" i="4"/>
  <c r="K42" i="4"/>
  <c r="M41" i="4"/>
  <c r="K41" i="4"/>
  <c r="G3" i="4"/>
  <c r="F3" i="4"/>
  <c r="A3" i="4"/>
  <c r="O5" i="4"/>
  <c r="C6" i="4"/>
  <c r="B6" i="4"/>
  <c r="O6" i="4"/>
  <c r="C7" i="4"/>
  <c r="B7" i="4"/>
  <c r="O7" i="4"/>
  <c r="C8" i="4"/>
  <c r="B8" i="4"/>
  <c r="O8" i="4"/>
  <c r="C9" i="4"/>
  <c r="B9" i="4"/>
  <c r="O9" i="4"/>
  <c r="C10" i="4"/>
  <c r="B10" i="4"/>
  <c r="O10" i="4"/>
  <c r="B11" i="4"/>
  <c r="O11" i="4"/>
  <c r="H13" i="4"/>
  <c r="O14" i="4"/>
  <c r="B15" i="4"/>
  <c r="O15" i="4"/>
  <c r="O16" i="4"/>
  <c r="B17" i="4"/>
  <c r="O17" i="4"/>
  <c r="B18" i="4"/>
  <c r="O18" i="4"/>
  <c r="B19" i="4"/>
  <c r="O19" i="4"/>
  <c r="B20" i="4"/>
  <c r="O20" i="4"/>
  <c r="H22" i="4"/>
  <c r="O23" i="4"/>
  <c r="B24" i="4"/>
  <c r="O24" i="4"/>
  <c r="B25" i="4"/>
  <c r="O25" i="4"/>
  <c r="B26" i="4"/>
  <c r="O26" i="4"/>
  <c r="B27" i="4"/>
  <c r="O27" i="4"/>
  <c r="B28" i="4"/>
  <c r="O28" i="4"/>
  <c r="B29" i="4"/>
  <c r="O29" i="4"/>
  <c r="H31" i="4"/>
  <c r="O32" i="4"/>
  <c r="B33" i="4"/>
  <c r="O33" i="4"/>
  <c r="B34" i="4"/>
  <c r="O34" i="4"/>
  <c r="B35" i="4"/>
  <c r="O35" i="4"/>
  <c r="B36" i="4"/>
  <c r="O36" i="4"/>
  <c r="B37" i="4"/>
  <c r="O37" i="4"/>
  <c r="B38" i="4"/>
  <c r="O38" i="4"/>
  <c r="H40" i="4"/>
  <c r="O41" i="4"/>
  <c r="O42" i="4"/>
  <c r="O43" i="4"/>
  <c r="O44" i="4"/>
  <c r="O45" i="4"/>
  <c r="O46" i="4"/>
  <c r="O47" i="4"/>
  <c r="H49" i="4"/>
  <c r="M38" i="4"/>
  <c r="K38" i="4"/>
  <c r="M37" i="4"/>
  <c r="K37" i="4"/>
  <c r="M36" i="4"/>
  <c r="K36" i="4"/>
  <c r="M35" i="4"/>
  <c r="K35" i="4"/>
  <c r="M34" i="4"/>
  <c r="K34" i="4"/>
  <c r="M33" i="4"/>
  <c r="K33" i="4"/>
  <c r="M32" i="4"/>
  <c r="K32" i="4"/>
  <c r="M29" i="4"/>
  <c r="K29" i="4"/>
  <c r="M28" i="4"/>
  <c r="K28" i="4"/>
  <c r="M27" i="4"/>
  <c r="K27" i="4"/>
  <c r="M26" i="4"/>
  <c r="K26" i="4"/>
  <c r="M25" i="4"/>
  <c r="K25" i="4"/>
  <c r="M24" i="4"/>
  <c r="K24" i="4"/>
  <c r="M23" i="4"/>
  <c r="K23" i="4"/>
  <c r="M20" i="4"/>
  <c r="K20" i="4"/>
  <c r="M19" i="4"/>
  <c r="K19" i="4"/>
  <c r="M18" i="4"/>
  <c r="K18" i="4"/>
  <c r="M17" i="4"/>
  <c r="K17" i="4"/>
  <c r="M16" i="4"/>
  <c r="K16" i="4"/>
  <c r="M15" i="4"/>
  <c r="K15" i="4"/>
  <c r="M14" i="4"/>
  <c r="K14" i="4"/>
  <c r="M11" i="4"/>
  <c r="K11" i="4"/>
  <c r="M10" i="4"/>
  <c r="K10" i="4"/>
  <c r="M9" i="4"/>
  <c r="K9" i="4"/>
  <c r="M8" i="4"/>
  <c r="K8" i="4"/>
  <c r="M7" i="4"/>
  <c r="K7" i="4"/>
  <c r="M6" i="4"/>
  <c r="K6" i="4"/>
  <c r="M5" i="4"/>
  <c r="K5" i="4"/>
  <c r="M51" i="31"/>
  <c r="M50" i="31"/>
  <c r="M47" i="31"/>
  <c r="M46" i="31"/>
  <c r="M45" i="31"/>
  <c r="M44" i="31"/>
  <c r="M43" i="31"/>
  <c r="M42" i="31"/>
  <c r="M41" i="31"/>
  <c r="M38" i="31"/>
  <c r="M37" i="31"/>
  <c r="M36" i="31"/>
  <c r="M35" i="31"/>
  <c r="M34" i="31"/>
  <c r="M33" i="31"/>
  <c r="M32" i="31"/>
  <c r="M29" i="31"/>
  <c r="M28" i="31"/>
  <c r="M27" i="31"/>
  <c r="M26" i="31"/>
  <c r="M25" i="31"/>
  <c r="M24" i="31"/>
  <c r="M23" i="31"/>
  <c r="M20" i="31"/>
  <c r="M19" i="31"/>
  <c r="M18" i="31"/>
  <c r="M17" i="31"/>
  <c r="M16" i="31"/>
  <c r="M15" i="31"/>
  <c r="M14" i="31"/>
  <c r="M11" i="31"/>
  <c r="M10" i="31"/>
  <c r="M9" i="31"/>
  <c r="M8" i="31"/>
  <c r="M7" i="31"/>
  <c r="M6" i="31"/>
  <c r="M5" i="31"/>
  <c r="K35" i="31"/>
  <c r="K18" i="31"/>
  <c r="K8" i="31"/>
  <c r="K10" i="31"/>
  <c r="K43" i="31"/>
  <c r="K19" i="31"/>
  <c r="K26" i="31"/>
  <c r="K5" i="31"/>
  <c r="K6" i="31"/>
  <c r="K7" i="31"/>
  <c r="K9" i="31"/>
  <c r="K11" i="31"/>
  <c r="K14" i="31"/>
  <c r="K15" i="31"/>
  <c r="K16" i="31"/>
  <c r="K17" i="31"/>
  <c r="K20" i="31"/>
  <c r="K23" i="31"/>
  <c r="K24" i="31"/>
  <c r="K25" i="31"/>
  <c r="K27" i="31"/>
  <c r="K28" i="31"/>
  <c r="K29" i="31"/>
  <c r="K32" i="31"/>
  <c r="K33" i="31"/>
  <c r="K34" i="31"/>
  <c r="K36" i="31"/>
  <c r="K37" i="31"/>
  <c r="K38" i="31"/>
  <c r="K41" i="31"/>
  <c r="K42" i="31"/>
  <c r="K44" i="31"/>
  <c r="K45" i="31"/>
  <c r="K46" i="31"/>
  <c r="K47" i="31"/>
  <c r="K50" i="31"/>
  <c r="K51" i="31"/>
  <c r="J53" i="31"/>
  <c r="K53" i="31"/>
  <c r="L53" i="31"/>
  <c r="AF30" i="16"/>
  <c r="K53" i="4"/>
  <c r="L53" i="4"/>
  <c r="AF29" i="16"/>
  <c r="J53" i="32"/>
  <c r="K53" i="32"/>
  <c r="L53" i="32"/>
  <c r="AF31" i="16"/>
  <c r="J53" i="33"/>
  <c r="K53" i="33"/>
  <c r="L53" i="33"/>
  <c r="AF32" i="16"/>
  <c r="J53" i="34"/>
  <c r="K53" i="34"/>
  <c r="L53" i="34"/>
  <c r="AF33" i="16"/>
  <c r="J53" i="35"/>
  <c r="K53" i="35"/>
  <c r="L53" i="35"/>
  <c r="AF34" i="16"/>
  <c r="J53" i="36"/>
  <c r="K53" i="36"/>
  <c r="L53" i="36"/>
  <c r="AF35" i="16"/>
  <c r="J53" i="37"/>
  <c r="K53" i="37"/>
  <c r="L53" i="37"/>
  <c r="AF36" i="16"/>
  <c r="J53" i="38"/>
  <c r="K53" i="38"/>
  <c r="L53" i="38"/>
  <c r="AF37" i="16"/>
  <c r="J53" i="39"/>
  <c r="K53" i="39"/>
  <c r="L53" i="39"/>
  <c r="AF38" i="16"/>
  <c r="J53" i="40"/>
  <c r="K53" i="40"/>
  <c r="L53" i="40"/>
  <c r="AF39" i="16"/>
  <c r="J53" i="41"/>
  <c r="K53" i="41"/>
  <c r="L53" i="41"/>
  <c r="AF40" i="16"/>
  <c r="AF43" i="16"/>
  <c r="M53" i="31"/>
  <c r="AM30" i="16"/>
  <c r="M53" i="4"/>
  <c r="AM29" i="16"/>
  <c r="M53" i="32"/>
  <c r="AM31" i="16"/>
  <c r="M53" i="33"/>
  <c r="AM32" i="16"/>
  <c r="M53" i="34"/>
  <c r="AM33" i="16"/>
  <c r="M53" i="35"/>
  <c r="AM34" i="16"/>
  <c r="M53" i="36"/>
  <c r="AM35" i="16"/>
  <c r="M53" i="37"/>
  <c r="AM36" i="16"/>
  <c r="M53" i="38"/>
  <c r="AM37" i="16"/>
  <c r="M53" i="39"/>
  <c r="AM38" i="16"/>
  <c r="M53" i="40"/>
  <c r="AM39" i="16"/>
  <c r="M53" i="41"/>
  <c r="AM40" i="16"/>
  <c r="AM43" i="16"/>
  <c r="AS43" i="16"/>
  <c r="AG28" i="16"/>
  <c r="AG44" i="16"/>
  <c r="J54" i="31"/>
  <c r="K54" i="31"/>
  <c r="L54" i="31"/>
  <c r="AG30" i="16"/>
  <c r="J54" i="4"/>
  <c r="K54" i="4"/>
  <c r="L54" i="4"/>
  <c r="AG29" i="16"/>
  <c r="J54" i="32"/>
  <c r="K54" i="32"/>
  <c r="L54" i="32"/>
  <c r="AG31" i="16"/>
  <c r="J54" i="33"/>
  <c r="K54" i="33"/>
  <c r="L54" i="33"/>
  <c r="AG32" i="16"/>
  <c r="J54" i="34"/>
  <c r="K54" i="34"/>
  <c r="L54" i="34"/>
  <c r="AG33" i="16"/>
  <c r="J54" i="35"/>
  <c r="K54" i="35"/>
  <c r="L54" i="35"/>
  <c r="AG34" i="16"/>
  <c r="J54" i="36"/>
  <c r="K54" i="36"/>
  <c r="L54" i="36"/>
  <c r="AG35" i="16"/>
  <c r="J54" i="37"/>
  <c r="K54" i="37"/>
  <c r="L54" i="37"/>
  <c r="AG36" i="16"/>
  <c r="J54" i="38"/>
  <c r="K54" i="38"/>
  <c r="L54" i="38"/>
  <c r="AG37" i="16"/>
  <c r="J54" i="39"/>
  <c r="K54" i="39"/>
  <c r="L54" i="39"/>
  <c r="AG38" i="16"/>
  <c r="J54" i="40"/>
  <c r="K54" i="40"/>
  <c r="L54" i="40"/>
  <c r="AG39" i="16"/>
  <c r="J54" i="41"/>
  <c r="K54" i="41"/>
  <c r="L54" i="41"/>
  <c r="AG40" i="16"/>
  <c r="AG43" i="16"/>
  <c r="M54" i="31"/>
  <c r="AN30" i="16"/>
  <c r="M54" i="4"/>
  <c r="AN29" i="16"/>
  <c r="M54" i="32"/>
  <c r="AN31" i="16"/>
  <c r="M54" i="33"/>
  <c r="AN32" i="16"/>
  <c r="M54" i="34"/>
  <c r="AN33" i="16"/>
  <c r="M54" i="35"/>
  <c r="AN34" i="16"/>
  <c r="M54" i="36"/>
  <c r="AN35" i="16"/>
  <c r="M54" i="37"/>
  <c r="AN36" i="16"/>
  <c r="M54" i="38"/>
  <c r="AN37" i="16"/>
  <c r="M54" i="39"/>
  <c r="AN38" i="16"/>
  <c r="M54" i="40"/>
  <c r="AN39" i="16"/>
  <c r="M54" i="41"/>
  <c r="AN40" i="16"/>
  <c r="AN43" i="16"/>
  <c r="AT43" i="16"/>
  <c r="AH28" i="16"/>
  <c r="AH44" i="16"/>
  <c r="J55" i="31"/>
  <c r="K55" i="31"/>
  <c r="L55" i="31"/>
  <c r="AH30" i="16"/>
  <c r="J55" i="4"/>
  <c r="K55" i="4"/>
  <c r="L55" i="4"/>
  <c r="AH29" i="16"/>
  <c r="J55" i="32"/>
  <c r="K55" i="32"/>
  <c r="L55" i="32"/>
  <c r="AH31" i="16"/>
  <c r="J55" i="33"/>
  <c r="K55" i="33"/>
  <c r="L55" i="33"/>
  <c r="AH32" i="16"/>
  <c r="J55" i="34"/>
  <c r="K55" i="34"/>
  <c r="L55" i="34"/>
  <c r="AH33" i="16"/>
  <c r="J55" i="35"/>
  <c r="K55" i="35"/>
  <c r="L55" i="35"/>
  <c r="AH34" i="16"/>
  <c r="J55" i="36"/>
  <c r="K55" i="36"/>
  <c r="L55" i="36"/>
  <c r="AH35" i="16"/>
  <c r="J55" i="37"/>
  <c r="K55" i="37"/>
  <c r="L55" i="37"/>
  <c r="AH36" i="16"/>
  <c r="J55" i="38"/>
  <c r="K55" i="38"/>
  <c r="L55" i="38"/>
  <c r="AH37" i="16"/>
  <c r="J55" i="39"/>
  <c r="K55" i="39"/>
  <c r="L55" i="39"/>
  <c r="AH38" i="16"/>
  <c r="J55" i="40"/>
  <c r="K55" i="40"/>
  <c r="L55" i="40"/>
  <c r="AH39" i="16"/>
  <c r="J55" i="41"/>
  <c r="K55" i="41"/>
  <c r="L55" i="41"/>
  <c r="AH40" i="16"/>
  <c r="AH43" i="16"/>
  <c r="M55" i="31"/>
  <c r="AO30" i="16"/>
  <c r="M55" i="4"/>
  <c r="AO29" i="16"/>
  <c r="M55" i="32"/>
  <c r="AO31" i="16"/>
  <c r="M55" i="33"/>
  <c r="AO32" i="16"/>
  <c r="M55" i="34"/>
  <c r="AO33" i="16"/>
  <c r="M55" i="35"/>
  <c r="AO34" i="16"/>
  <c r="M55" i="36"/>
  <c r="AO35" i="16"/>
  <c r="M55" i="37"/>
  <c r="AO36" i="16"/>
  <c r="M55" i="38"/>
  <c r="AO37" i="16"/>
  <c r="M55" i="39"/>
  <c r="AO38" i="16"/>
  <c r="M55" i="40"/>
  <c r="AO39" i="16"/>
  <c r="M55" i="41"/>
  <c r="AO40" i="16"/>
  <c r="AO43" i="16"/>
  <c r="AU43" i="16"/>
  <c r="AI28" i="16"/>
  <c r="AI44" i="16"/>
  <c r="J56" i="31"/>
  <c r="K56" i="31"/>
  <c r="L56" i="31"/>
  <c r="AI30" i="16"/>
  <c r="J56" i="4"/>
  <c r="K56" i="4"/>
  <c r="L56" i="4"/>
  <c r="AI29" i="16"/>
  <c r="J56" i="32"/>
  <c r="K56" i="32"/>
  <c r="L56" i="32"/>
  <c r="AI31" i="16"/>
  <c r="J56" i="33"/>
  <c r="K56" i="33"/>
  <c r="L56" i="33"/>
  <c r="AI32" i="16"/>
  <c r="J56" i="34"/>
  <c r="K56" i="34"/>
  <c r="L56" i="34"/>
  <c r="AI33" i="16"/>
  <c r="J56" i="35"/>
  <c r="K56" i="35"/>
  <c r="L56" i="35"/>
  <c r="AI34" i="16"/>
  <c r="J56" i="36"/>
  <c r="K56" i="36"/>
  <c r="L56" i="36"/>
  <c r="AI35" i="16"/>
  <c r="J56" i="37"/>
  <c r="K56" i="37"/>
  <c r="L56" i="37"/>
  <c r="AI36" i="16"/>
  <c r="J56" i="38"/>
  <c r="K56" i="38"/>
  <c r="L56" i="38"/>
  <c r="AI37" i="16"/>
  <c r="J56" i="39"/>
  <c r="K56" i="39"/>
  <c r="L56" i="39"/>
  <c r="AI38" i="16"/>
  <c r="J56" i="40"/>
  <c r="K56" i="40"/>
  <c r="L56" i="40"/>
  <c r="AI39" i="16"/>
  <c r="J56" i="41"/>
  <c r="K56" i="41"/>
  <c r="L56" i="41"/>
  <c r="AI40" i="16"/>
  <c r="AI43" i="16"/>
  <c r="M56" i="31"/>
  <c r="AP30" i="16"/>
  <c r="M56" i="4"/>
  <c r="AP29" i="16"/>
  <c r="M56" i="32"/>
  <c r="AP31" i="16"/>
  <c r="M56" i="33"/>
  <c r="AP32" i="16"/>
  <c r="M56" i="34"/>
  <c r="AP33" i="16"/>
  <c r="M56" i="35"/>
  <c r="AP34" i="16"/>
  <c r="M56" i="36"/>
  <c r="AP35" i="16"/>
  <c r="M56" i="37"/>
  <c r="AP36" i="16"/>
  <c r="M56" i="38"/>
  <c r="AP37" i="16"/>
  <c r="M56" i="39"/>
  <c r="AP38" i="16"/>
  <c r="M56" i="40"/>
  <c r="AP39" i="16"/>
  <c r="M56" i="41"/>
  <c r="AP40" i="16"/>
  <c r="AP43" i="16"/>
  <c r="AV43" i="16"/>
  <c r="AJ28" i="16"/>
  <c r="AJ44" i="16"/>
  <c r="J57" i="31"/>
  <c r="K57" i="31"/>
  <c r="L57" i="31"/>
  <c r="AJ30" i="16"/>
  <c r="J57" i="4"/>
  <c r="K57" i="4"/>
  <c r="L57" i="4"/>
  <c r="AJ29" i="16"/>
  <c r="J57" i="32"/>
  <c r="K57" i="32"/>
  <c r="L57" i="32"/>
  <c r="AJ31" i="16"/>
  <c r="J57" i="33"/>
  <c r="K57" i="33"/>
  <c r="L57" i="33"/>
  <c r="AJ32" i="16"/>
  <c r="J57" i="34"/>
  <c r="K57" i="34"/>
  <c r="L57" i="34"/>
  <c r="AJ33" i="16"/>
  <c r="J57" i="35"/>
  <c r="K57" i="35"/>
  <c r="L57" i="35"/>
  <c r="AJ34" i="16"/>
  <c r="J57" i="36"/>
  <c r="K57" i="36"/>
  <c r="L57" i="36"/>
  <c r="AJ35" i="16"/>
  <c r="J57" i="37"/>
  <c r="K57" i="37"/>
  <c r="L57" i="37"/>
  <c r="AJ36" i="16"/>
  <c r="J57" i="38"/>
  <c r="K57" i="38"/>
  <c r="L57" i="38"/>
  <c r="AJ37" i="16"/>
  <c r="J57" i="39"/>
  <c r="K57" i="39"/>
  <c r="L57" i="39"/>
  <c r="AJ38" i="16"/>
  <c r="J57" i="40"/>
  <c r="K57" i="40"/>
  <c r="L57" i="40"/>
  <c r="AJ39" i="16"/>
  <c r="J57" i="41"/>
  <c r="K57" i="41"/>
  <c r="L57" i="41"/>
  <c r="AJ40" i="16"/>
  <c r="AJ43" i="16"/>
  <c r="M57" i="31"/>
  <c r="AQ30" i="16"/>
  <c r="M57" i="4"/>
  <c r="AQ29" i="16"/>
  <c r="M57" i="32"/>
  <c r="AQ31" i="16"/>
  <c r="M57" i="33"/>
  <c r="AQ32" i="16"/>
  <c r="M57" i="34"/>
  <c r="AQ33" i="16"/>
  <c r="M57" i="35"/>
  <c r="AQ34" i="16"/>
  <c r="M57" i="36"/>
  <c r="AQ35" i="16"/>
  <c r="M57" i="37"/>
  <c r="AQ36" i="16"/>
  <c r="M57" i="38"/>
  <c r="AQ37" i="16"/>
  <c r="M57" i="39"/>
  <c r="AQ38" i="16"/>
  <c r="M57" i="40"/>
  <c r="AQ39" i="16"/>
  <c r="M57" i="41"/>
  <c r="AQ40" i="16"/>
  <c r="AQ43" i="16"/>
  <c r="AW43" i="16"/>
  <c r="AS41" i="16"/>
  <c r="AT41" i="16"/>
  <c r="AU41" i="16"/>
  <c r="AS28" i="16"/>
  <c r="AS44" i="16"/>
  <c r="AS42" i="16"/>
  <c r="G5" i="16"/>
  <c r="G6" i="16"/>
  <c r="E5" i="39"/>
  <c r="E6" i="39"/>
  <c r="E7" i="39"/>
  <c r="E8" i="39"/>
  <c r="E9" i="39"/>
  <c r="E10" i="39"/>
  <c r="E11" i="39"/>
  <c r="E41" i="39"/>
  <c r="E42" i="39"/>
  <c r="E43" i="39"/>
  <c r="E44" i="39"/>
  <c r="E45" i="39"/>
  <c r="E46" i="39"/>
  <c r="E47" i="39"/>
  <c r="E50" i="39"/>
  <c r="E51" i="39"/>
  <c r="V57" i="39"/>
  <c r="U57" i="39"/>
  <c r="T57" i="39"/>
  <c r="S57" i="39"/>
  <c r="R57" i="39"/>
  <c r="Q57" i="39"/>
  <c r="P57" i="39"/>
  <c r="E5" i="40"/>
  <c r="E6" i="40"/>
  <c r="E7" i="40"/>
  <c r="E8" i="40"/>
  <c r="E9" i="40"/>
  <c r="E10" i="40"/>
  <c r="E11" i="40"/>
  <c r="E41" i="40"/>
  <c r="E42" i="40"/>
  <c r="E43" i="40"/>
  <c r="E44" i="40"/>
  <c r="E45" i="40"/>
  <c r="E46" i="40"/>
  <c r="E47" i="40"/>
  <c r="E50" i="40"/>
  <c r="E51" i="40"/>
  <c r="V57" i="40"/>
  <c r="U57" i="40"/>
  <c r="T57" i="40"/>
  <c r="S57" i="40"/>
  <c r="R57" i="40"/>
  <c r="Q57" i="40"/>
  <c r="P57" i="40"/>
  <c r="E5" i="41"/>
  <c r="E6" i="41"/>
  <c r="E7" i="41"/>
  <c r="E8" i="41"/>
  <c r="E9" i="41"/>
  <c r="E10" i="41"/>
  <c r="E11" i="41"/>
  <c r="E41" i="41"/>
  <c r="E42" i="41"/>
  <c r="E43" i="41"/>
  <c r="E44" i="41"/>
  <c r="E45" i="41"/>
  <c r="E46" i="41"/>
  <c r="E47" i="41"/>
  <c r="E50" i="41"/>
  <c r="E51" i="41"/>
  <c r="V57" i="41"/>
  <c r="U57" i="41"/>
  <c r="T57" i="41"/>
  <c r="S57" i="41"/>
  <c r="R57" i="41"/>
  <c r="Q57" i="41"/>
  <c r="P57" i="41"/>
  <c r="E5" i="38"/>
  <c r="E6" i="38"/>
  <c r="E7" i="38"/>
  <c r="E8" i="38"/>
  <c r="E9" i="38"/>
  <c r="E10" i="38"/>
  <c r="E11" i="38"/>
  <c r="E41" i="38"/>
  <c r="E42" i="38"/>
  <c r="E43" i="38"/>
  <c r="E44" i="38"/>
  <c r="E45" i="38"/>
  <c r="E46" i="38"/>
  <c r="E47" i="38"/>
  <c r="E50" i="38"/>
  <c r="E51" i="38"/>
  <c r="E5" i="37"/>
  <c r="E6" i="37"/>
  <c r="E7" i="37"/>
  <c r="E8" i="37"/>
  <c r="E9" i="37"/>
  <c r="E10" i="37"/>
  <c r="E11" i="37"/>
  <c r="E41" i="37"/>
  <c r="E42" i="37"/>
  <c r="E43" i="37"/>
  <c r="E44" i="37"/>
  <c r="E45" i="37"/>
  <c r="E46" i="37"/>
  <c r="E47" i="37"/>
  <c r="E50" i="37"/>
  <c r="E51" i="37"/>
  <c r="V57" i="37"/>
  <c r="U57" i="37"/>
  <c r="T57" i="37"/>
  <c r="S57" i="37"/>
  <c r="R57" i="37"/>
  <c r="Q57" i="37"/>
  <c r="P57" i="37"/>
  <c r="E5" i="36"/>
  <c r="E6" i="36"/>
  <c r="E7" i="36"/>
  <c r="E8" i="36"/>
  <c r="E9" i="36"/>
  <c r="E10" i="36"/>
  <c r="E11" i="36"/>
  <c r="E41" i="36"/>
  <c r="E42" i="36"/>
  <c r="E43" i="36"/>
  <c r="E44" i="36"/>
  <c r="E45" i="36"/>
  <c r="E46" i="36"/>
  <c r="E47" i="36"/>
  <c r="E50" i="36"/>
  <c r="E51" i="36"/>
  <c r="V57" i="36"/>
  <c r="U57" i="36"/>
  <c r="T57" i="36"/>
  <c r="S57" i="36"/>
  <c r="R57" i="36"/>
  <c r="Q57" i="36"/>
  <c r="P57" i="36"/>
  <c r="H56" i="34"/>
  <c r="P4" i="34"/>
  <c r="Q4" i="34"/>
  <c r="P5" i="34"/>
  <c r="Q5" i="34"/>
  <c r="W5" i="34"/>
  <c r="AA5" i="34"/>
  <c r="AB5" i="34"/>
  <c r="P6" i="34"/>
  <c r="Q6" i="34"/>
  <c r="W6" i="34"/>
  <c r="AA6" i="34"/>
  <c r="AB6" i="34"/>
  <c r="P7" i="34"/>
  <c r="Q7" i="34"/>
  <c r="W7" i="34"/>
  <c r="AA7" i="34"/>
  <c r="AB7" i="34"/>
  <c r="P8" i="34"/>
  <c r="Q8" i="34"/>
  <c r="W8" i="34"/>
  <c r="AA8" i="34"/>
  <c r="AB8" i="34"/>
  <c r="P9" i="34"/>
  <c r="Q9" i="34"/>
  <c r="W9" i="34"/>
  <c r="AA9" i="34"/>
  <c r="AB9" i="34"/>
  <c r="P10" i="34"/>
  <c r="Q10" i="34"/>
  <c r="W10" i="34"/>
  <c r="AA10" i="34"/>
  <c r="AB10" i="34"/>
  <c r="P11" i="34"/>
  <c r="Q11" i="34"/>
  <c r="W11" i="34"/>
  <c r="AB11" i="34"/>
  <c r="O12" i="34"/>
  <c r="Q12" i="34"/>
  <c r="AA12" i="34"/>
  <c r="AB12" i="34"/>
  <c r="O13" i="34"/>
  <c r="Q13" i="34"/>
  <c r="AA13" i="34"/>
  <c r="AB13" i="34"/>
  <c r="P14" i="34"/>
  <c r="Q14" i="34"/>
  <c r="W14" i="34"/>
  <c r="AA14" i="34"/>
  <c r="AB14" i="34"/>
  <c r="P15" i="34"/>
  <c r="Q15" i="34"/>
  <c r="W15" i="34"/>
  <c r="AA15" i="34"/>
  <c r="AB15" i="34"/>
  <c r="P16" i="34"/>
  <c r="Q16" i="34"/>
  <c r="W16" i="34"/>
  <c r="AA16" i="34"/>
  <c r="AB16" i="34"/>
  <c r="P17" i="34"/>
  <c r="Q17" i="34"/>
  <c r="W17" i="34"/>
  <c r="AA17" i="34"/>
  <c r="AB17" i="34"/>
  <c r="P18" i="34"/>
  <c r="Q18" i="34"/>
  <c r="W18" i="34"/>
  <c r="AA18" i="34"/>
  <c r="AB18" i="34"/>
  <c r="P19" i="34"/>
  <c r="Q19" i="34"/>
  <c r="W19" i="34"/>
  <c r="AA19" i="34"/>
  <c r="AB19" i="34"/>
  <c r="P20" i="34"/>
  <c r="Q20" i="34"/>
  <c r="W20" i="34"/>
  <c r="AA20" i="34"/>
  <c r="AB20" i="34"/>
  <c r="O21" i="34"/>
  <c r="Q21" i="34"/>
  <c r="AA21" i="34"/>
  <c r="AB21" i="34"/>
  <c r="O22" i="34"/>
  <c r="Q22" i="34"/>
  <c r="AA22" i="34"/>
  <c r="AB22" i="34"/>
  <c r="P23" i="34"/>
  <c r="Q23" i="34"/>
  <c r="W23" i="34"/>
  <c r="AA23" i="34"/>
  <c r="AB23" i="34"/>
  <c r="P24" i="34"/>
  <c r="Q24" i="34"/>
  <c r="W24" i="34"/>
  <c r="AA24" i="34"/>
  <c r="AB24" i="34"/>
  <c r="P25" i="34"/>
  <c r="Q25" i="34"/>
  <c r="W25" i="34"/>
  <c r="AA25" i="34"/>
  <c r="AB25" i="34"/>
  <c r="P26" i="34"/>
  <c r="Q26" i="34"/>
  <c r="W26" i="34"/>
  <c r="AA26" i="34"/>
  <c r="AB26" i="34"/>
  <c r="P27" i="34"/>
  <c r="Q27" i="34"/>
  <c r="W27" i="34"/>
  <c r="AA27" i="34"/>
  <c r="AB27" i="34"/>
  <c r="P28" i="34"/>
  <c r="Q28" i="34"/>
  <c r="W28" i="34"/>
  <c r="AA28" i="34"/>
  <c r="AB28" i="34"/>
  <c r="P29" i="34"/>
  <c r="Q29" i="34"/>
  <c r="W29" i="34"/>
  <c r="AA29" i="34"/>
  <c r="AB29" i="34"/>
  <c r="O30" i="34"/>
  <c r="Q30" i="34"/>
  <c r="AA30" i="34"/>
  <c r="AB30" i="34"/>
  <c r="O31" i="34"/>
  <c r="Q31" i="34"/>
  <c r="AA31" i="34"/>
  <c r="AB31" i="34"/>
  <c r="P32" i="34"/>
  <c r="Q32" i="34"/>
  <c r="W32" i="34"/>
  <c r="AA32" i="34"/>
  <c r="AB32" i="34"/>
  <c r="P33" i="34"/>
  <c r="Q33" i="34"/>
  <c r="W33" i="34"/>
  <c r="AA33" i="34"/>
  <c r="AB33" i="34"/>
  <c r="P34" i="34"/>
  <c r="Q34" i="34"/>
  <c r="W34" i="34"/>
  <c r="AA34" i="34"/>
  <c r="AB34" i="34"/>
  <c r="P35" i="34"/>
  <c r="Q35" i="34"/>
  <c r="W35" i="34"/>
  <c r="AA35" i="34"/>
  <c r="AB35" i="34"/>
  <c r="P36" i="34"/>
  <c r="Q36" i="34"/>
  <c r="W36" i="34"/>
  <c r="AA36" i="34"/>
  <c r="AB36" i="34"/>
  <c r="P37" i="34"/>
  <c r="Q37" i="34"/>
  <c r="W37" i="34"/>
  <c r="AA37" i="34"/>
  <c r="AB37" i="34"/>
  <c r="P38" i="34"/>
  <c r="Q38" i="34"/>
  <c r="W38" i="34"/>
  <c r="AA38" i="34"/>
  <c r="AB38" i="34"/>
  <c r="O39" i="34"/>
  <c r="Q39" i="34"/>
  <c r="AA39" i="34"/>
  <c r="AB39" i="34"/>
  <c r="O40" i="34"/>
  <c r="Q40" i="34"/>
  <c r="AA40" i="34"/>
  <c r="AB40" i="34"/>
  <c r="P41" i="34"/>
  <c r="Q41" i="34"/>
  <c r="W41" i="34"/>
  <c r="AA41" i="34"/>
  <c r="AB41" i="34"/>
  <c r="P42" i="34"/>
  <c r="Q42" i="34"/>
  <c r="W42" i="34"/>
  <c r="AA42" i="34"/>
  <c r="AB42" i="34"/>
  <c r="P43" i="34"/>
  <c r="Q43" i="34"/>
  <c r="W43" i="34"/>
  <c r="AA43" i="34"/>
  <c r="AB43" i="34"/>
  <c r="P44" i="34"/>
  <c r="Q44" i="34"/>
  <c r="W44" i="34"/>
  <c r="AA44" i="34"/>
  <c r="AB44" i="34"/>
  <c r="P45" i="34"/>
  <c r="Q45" i="34"/>
  <c r="W45" i="34"/>
  <c r="AA45" i="34"/>
  <c r="AB45" i="34"/>
  <c r="P46" i="34"/>
  <c r="Q46" i="34"/>
  <c r="W46" i="34"/>
  <c r="AA46" i="34"/>
  <c r="AB46" i="34"/>
  <c r="P47" i="34"/>
  <c r="Q47" i="34"/>
  <c r="W47" i="34"/>
  <c r="AA47" i="34"/>
  <c r="AB47" i="34"/>
  <c r="O48" i="34"/>
  <c r="Q48" i="34"/>
  <c r="Y48" i="34"/>
  <c r="Z48" i="34"/>
  <c r="AB48" i="34"/>
  <c r="O49" i="34"/>
  <c r="Q49" i="34"/>
  <c r="Y49" i="34"/>
  <c r="Z49" i="34"/>
  <c r="AB49" i="34"/>
  <c r="P50" i="34"/>
  <c r="Q50" i="34"/>
  <c r="W50" i="34"/>
  <c r="AA50" i="34"/>
  <c r="AB50" i="34"/>
  <c r="P51" i="34"/>
  <c r="Q51" i="34"/>
  <c r="W51" i="34"/>
  <c r="AB51" i="34"/>
  <c r="E5" i="34"/>
  <c r="E6" i="34"/>
  <c r="E7" i="34"/>
  <c r="E8" i="34"/>
  <c r="E9" i="34"/>
  <c r="E10" i="34"/>
  <c r="E11" i="34"/>
  <c r="E41" i="34"/>
  <c r="E42" i="34"/>
  <c r="E43" i="34"/>
  <c r="E44" i="34"/>
  <c r="E45" i="34"/>
  <c r="E46" i="34"/>
  <c r="E47" i="34"/>
  <c r="E50" i="34"/>
  <c r="E51" i="34"/>
  <c r="P53" i="34"/>
  <c r="Q53" i="34"/>
  <c r="R53" i="34"/>
  <c r="S53" i="34"/>
  <c r="T53" i="34"/>
  <c r="U53" i="34"/>
  <c r="V53" i="34"/>
  <c r="D5" i="34"/>
  <c r="D6" i="34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P54" i="34"/>
  <c r="Q54" i="34"/>
  <c r="R54" i="34"/>
  <c r="S54" i="34"/>
  <c r="T54" i="34"/>
  <c r="U54" i="34"/>
  <c r="V54" i="34"/>
  <c r="P55" i="34"/>
  <c r="Q55" i="34"/>
  <c r="R55" i="34"/>
  <c r="S55" i="34"/>
  <c r="T55" i="34"/>
  <c r="U55" i="34"/>
  <c r="V55" i="34"/>
  <c r="P57" i="34"/>
  <c r="Q57" i="34"/>
  <c r="R57" i="34"/>
  <c r="S57" i="34"/>
  <c r="T57" i="34"/>
  <c r="U57" i="34"/>
  <c r="V57" i="34"/>
  <c r="P58" i="34"/>
  <c r="Q58" i="34"/>
  <c r="R58" i="34"/>
  <c r="S58" i="34"/>
  <c r="T58" i="34"/>
  <c r="U58" i="34"/>
  <c r="V58" i="34"/>
  <c r="P59" i="34"/>
  <c r="Q59" i="34"/>
  <c r="R59" i="34"/>
  <c r="S59" i="34"/>
  <c r="T59" i="34"/>
  <c r="U59" i="34"/>
  <c r="V59" i="34"/>
  <c r="E5" i="35"/>
  <c r="E6" i="35"/>
  <c r="E7" i="35"/>
  <c r="E8" i="35"/>
  <c r="E9" i="35"/>
  <c r="E10" i="35"/>
  <c r="E11" i="35"/>
  <c r="E41" i="35"/>
  <c r="E42" i="35"/>
  <c r="E43" i="35"/>
  <c r="E44" i="35"/>
  <c r="E45" i="35"/>
  <c r="E46" i="35"/>
  <c r="E47" i="35"/>
  <c r="E50" i="35"/>
  <c r="E51" i="35"/>
  <c r="P53" i="35"/>
  <c r="E5" i="4"/>
  <c r="E6" i="4"/>
  <c r="E7" i="4"/>
  <c r="E8" i="4"/>
  <c r="E9" i="4"/>
  <c r="E10" i="4"/>
  <c r="E11" i="4"/>
  <c r="E41" i="4"/>
  <c r="E42" i="4"/>
  <c r="E43" i="4"/>
  <c r="E44" i="4"/>
  <c r="E45" i="4"/>
  <c r="E46" i="4"/>
  <c r="E47" i="4"/>
  <c r="E50" i="4"/>
  <c r="E51" i="4"/>
  <c r="V57" i="4"/>
  <c r="U57" i="4"/>
  <c r="T57" i="4"/>
  <c r="S57" i="4"/>
  <c r="R57" i="4"/>
  <c r="Q57" i="4"/>
  <c r="AA29" i="31"/>
  <c r="AA38" i="31"/>
  <c r="AA47" i="31"/>
  <c r="O5" i="31"/>
  <c r="C6" i="31"/>
  <c r="B6" i="31"/>
  <c r="O6" i="31"/>
  <c r="C7" i="31"/>
  <c r="B7" i="31"/>
  <c r="O7" i="31"/>
  <c r="G3" i="31"/>
  <c r="C8" i="31"/>
  <c r="B8" i="31"/>
  <c r="F3" i="31"/>
  <c r="A3" i="31"/>
  <c r="O8" i="31"/>
  <c r="C9" i="31"/>
  <c r="B9" i="31"/>
  <c r="O9" i="31"/>
  <c r="C10" i="31"/>
  <c r="B10" i="31"/>
  <c r="O10" i="31"/>
  <c r="B11" i="31"/>
  <c r="O11" i="31"/>
  <c r="H13" i="31"/>
  <c r="O14" i="31"/>
  <c r="B15" i="31"/>
  <c r="O15" i="31"/>
  <c r="B16" i="31"/>
  <c r="O16" i="31"/>
  <c r="B17" i="31"/>
  <c r="O17" i="31"/>
  <c r="B18" i="31"/>
  <c r="O18" i="31"/>
  <c r="B19" i="31"/>
  <c r="O19" i="31"/>
  <c r="B20" i="31"/>
  <c r="O20" i="31"/>
  <c r="H22" i="31"/>
  <c r="O23" i="31"/>
  <c r="B24" i="31"/>
  <c r="O24" i="31"/>
  <c r="B25" i="31"/>
  <c r="O25" i="31"/>
  <c r="B26" i="31"/>
  <c r="O26" i="31"/>
  <c r="B27" i="31"/>
  <c r="O27" i="31"/>
  <c r="B28" i="31"/>
  <c r="O28" i="31"/>
  <c r="B29" i="31"/>
  <c r="O29" i="31"/>
  <c r="H31" i="31"/>
  <c r="O32" i="31"/>
  <c r="B33" i="31"/>
  <c r="O33" i="31"/>
  <c r="B34" i="31"/>
  <c r="O34" i="31"/>
  <c r="B35" i="31"/>
  <c r="O35" i="31"/>
  <c r="B36" i="31"/>
  <c r="O36" i="31"/>
  <c r="B37" i="31"/>
  <c r="O37" i="31"/>
  <c r="B38" i="31"/>
  <c r="O38" i="31"/>
  <c r="H40" i="31"/>
  <c r="O41" i="31"/>
  <c r="O42" i="31"/>
  <c r="O43" i="31"/>
  <c r="O44" i="31"/>
  <c r="O45" i="31"/>
  <c r="O46" i="31"/>
  <c r="O47" i="31"/>
  <c r="H49" i="31"/>
  <c r="E5" i="33"/>
  <c r="E6" i="33"/>
  <c r="E7" i="33"/>
  <c r="E8" i="33"/>
  <c r="E9" i="33"/>
  <c r="E10" i="33"/>
  <c r="E11" i="33"/>
  <c r="E41" i="33"/>
  <c r="E42" i="33"/>
  <c r="E43" i="33"/>
  <c r="E44" i="33"/>
  <c r="E45" i="33"/>
  <c r="E46" i="33"/>
  <c r="E47" i="33"/>
  <c r="E50" i="33"/>
  <c r="E51" i="33"/>
  <c r="V57" i="33"/>
  <c r="U57" i="33"/>
  <c r="T57" i="33"/>
  <c r="S57" i="33"/>
  <c r="R57" i="33"/>
  <c r="Q57" i="33"/>
  <c r="P57" i="33"/>
  <c r="E5" i="32"/>
  <c r="E6" i="32"/>
  <c r="E7" i="32"/>
  <c r="E8" i="32"/>
  <c r="E9" i="32"/>
  <c r="E10" i="32"/>
  <c r="E11" i="32"/>
  <c r="E41" i="32"/>
  <c r="E42" i="32"/>
  <c r="E43" i="32"/>
  <c r="E44" i="32"/>
  <c r="E45" i="32"/>
  <c r="E46" i="32"/>
  <c r="E47" i="32"/>
  <c r="E50" i="32"/>
  <c r="E51" i="32"/>
  <c r="V57" i="32"/>
  <c r="U57" i="32"/>
  <c r="T57" i="32"/>
  <c r="S57" i="32"/>
  <c r="R57" i="32"/>
  <c r="Q57" i="32"/>
  <c r="P57" i="32"/>
  <c r="H56" i="4"/>
  <c r="P4" i="4"/>
  <c r="Q4" i="4"/>
  <c r="P5" i="4"/>
  <c r="Q5" i="4"/>
  <c r="W5" i="4"/>
  <c r="AA5" i="4"/>
  <c r="AB5" i="4"/>
  <c r="P6" i="4"/>
  <c r="Q6" i="4"/>
  <c r="W6" i="4"/>
  <c r="AA6" i="4"/>
  <c r="AB6" i="4"/>
  <c r="P7" i="4"/>
  <c r="Q7" i="4"/>
  <c r="W7" i="4"/>
  <c r="AA7" i="4"/>
  <c r="AB7" i="4"/>
  <c r="P8" i="4"/>
  <c r="Q8" i="4"/>
  <c r="W8" i="4"/>
  <c r="AA8" i="4"/>
  <c r="AB8" i="4"/>
  <c r="P9" i="4"/>
  <c r="Q9" i="4"/>
  <c r="W9" i="4"/>
  <c r="AA9" i="4"/>
  <c r="AB9" i="4"/>
  <c r="P10" i="4"/>
  <c r="Q10" i="4"/>
  <c r="W10" i="4"/>
  <c r="AA10" i="4"/>
  <c r="AB10" i="4"/>
  <c r="P11" i="4"/>
  <c r="Q11" i="4"/>
  <c r="W11" i="4"/>
  <c r="AB11" i="4"/>
  <c r="O12" i="4"/>
  <c r="Q12" i="4"/>
  <c r="AA12" i="4"/>
  <c r="AB12" i="4"/>
  <c r="O13" i="4"/>
  <c r="Q13" i="4"/>
  <c r="AA13" i="4"/>
  <c r="AB13" i="4"/>
  <c r="P14" i="4"/>
  <c r="Q14" i="4"/>
  <c r="W14" i="4"/>
  <c r="AA14" i="4"/>
  <c r="AB14" i="4"/>
  <c r="P15" i="4"/>
  <c r="Q15" i="4"/>
  <c r="W15" i="4"/>
  <c r="AA15" i="4"/>
  <c r="AB15" i="4"/>
  <c r="P16" i="4"/>
  <c r="Q16" i="4"/>
  <c r="W16" i="4"/>
  <c r="AA16" i="4"/>
  <c r="AB16" i="4"/>
  <c r="P17" i="4"/>
  <c r="Q17" i="4"/>
  <c r="W17" i="4"/>
  <c r="AA17" i="4"/>
  <c r="AB17" i="4"/>
  <c r="P18" i="4"/>
  <c r="Q18" i="4"/>
  <c r="W18" i="4"/>
  <c r="AA18" i="4"/>
  <c r="AB18" i="4"/>
  <c r="P19" i="4"/>
  <c r="Q19" i="4"/>
  <c r="W19" i="4"/>
  <c r="AA19" i="4"/>
  <c r="AB19" i="4"/>
  <c r="P20" i="4"/>
  <c r="Q20" i="4"/>
  <c r="W20" i="4"/>
  <c r="AB20" i="4"/>
  <c r="O21" i="4"/>
  <c r="Q21" i="4"/>
  <c r="AA21" i="4"/>
  <c r="AB21" i="4"/>
  <c r="O22" i="4"/>
  <c r="Q22" i="4"/>
  <c r="AA22" i="4"/>
  <c r="AB22" i="4"/>
  <c r="P23" i="4"/>
  <c r="Q23" i="4"/>
  <c r="W23" i="4"/>
  <c r="AA23" i="4"/>
  <c r="AB23" i="4"/>
  <c r="P24" i="4"/>
  <c r="Q24" i="4"/>
  <c r="W24" i="4"/>
  <c r="AA24" i="4"/>
  <c r="AB24" i="4"/>
  <c r="P25" i="4"/>
  <c r="Q25" i="4"/>
  <c r="W25" i="4"/>
  <c r="AA25" i="4"/>
  <c r="AB25" i="4"/>
  <c r="P26" i="4"/>
  <c r="Q26" i="4"/>
  <c r="W26" i="4"/>
  <c r="AA26" i="4"/>
  <c r="AB26" i="4"/>
  <c r="P27" i="4"/>
  <c r="Q27" i="4"/>
  <c r="W27" i="4"/>
  <c r="AA27" i="4"/>
  <c r="AB27" i="4"/>
  <c r="P28" i="4"/>
  <c r="Q28" i="4"/>
  <c r="W28" i="4"/>
  <c r="AA28" i="4"/>
  <c r="AB28" i="4"/>
  <c r="P29" i="4"/>
  <c r="Q29" i="4"/>
  <c r="W29" i="4"/>
  <c r="AB29" i="4"/>
  <c r="O30" i="4"/>
  <c r="Q30" i="4"/>
  <c r="AA30" i="4"/>
  <c r="AB30" i="4"/>
  <c r="O31" i="4"/>
  <c r="Q31" i="4"/>
  <c r="AA31" i="4"/>
  <c r="AB31" i="4"/>
  <c r="P32" i="4"/>
  <c r="Q32" i="4"/>
  <c r="W32" i="4"/>
  <c r="AA32" i="4"/>
  <c r="AB32" i="4"/>
  <c r="P33" i="4"/>
  <c r="Q33" i="4"/>
  <c r="W33" i="4"/>
  <c r="AA33" i="4"/>
  <c r="AB33" i="4"/>
  <c r="P34" i="4"/>
  <c r="Q34" i="4"/>
  <c r="W34" i="4"/>
  <c r="AA34" i="4"/>
  <c r="AB34" i="4"/>
  <c r="P35" i="4"/>
  <c r="Q35" i="4"/>
  <c r="W35" i="4"/>
  <c r="AA35" i="4"/>
  <c r="AB35" i="4"/>
  <c r="P36" i="4"/>
  <c r="Q36" i="4"/>
  <c r="W36" i="4"/>
  <c r="AA36" i="4"/>
  <c r="AB36" i="4"/>
  <c r="P37" i="4"/>
  <c r="Q37" i="4"/>
  <c r="W37" i="4"/>
  <c r="AA37" i="4"/>
  <c r="AB37" i="4"/>
  <c r="P38" i="4"/>
  <c r="Q38" i="4"/>
  <c r="W38" i="4"/>
  <c r="AB38" i="4"/>
  <c r="O39" i="4"/>
  <c r="Q39" i="4"/>
  <c r="AA39" i="4"/>
  <c r="AB39" i="4"/>
  <c r="O40" i="4"/>
  <c r="Q40" i="4"/>
  <c r="AA40" i="4"/>
  <c r="AB40" i="4"/>
  <c r="P41" i="4"/>
  <c r="Q41" i="4"/>
  <c r="W41" i="4"/>
  <c r="AA41" i="4"/>
  <c r="AB41" i="4"/>
  <c r="P42" i="4"/>
  <c r="Q42" i="4"/>
  <c r="W42" i="4"/>
  <c r="AB42" i="4"/>
  <c r="P43" i="4"/>
  <c r="Q43" i="4"/>
  <c r="W43" i="4"/>
  <c r="AB43" i="4"/>
  <c r="P44" i="4"/>
  <c r="Q44" i="4"/>
  <c r="W44" i="4"/>
  <c r="AA44" i="4"/>
  <c r="AB44" i="4"/>
  <c r="P45" i="4"/>
  <c r="Q45" i="4"/>
  <c r="W45" i="4"/>
  <c r="AA45" i="4"/>
  <c r="AB45" i="4"/>
  <c r="P46" i="4"/>
  <c r="Q46" i="4"/>
  <c r="W46" i="4"/>
  <c r="AA46" i="4"/>
  <c r="AB46" i="4"/>
  <c r="P47" i="4"/>
  <c r="Q47" i="4"/>
  <c r="W47" i="4"/>
  <c r="AB47" i="4"/>
  <c r="O48" i="4"/>
  <c r="Q48" i="4"/>
  <c r="Y48" i="4"/>
  <c r="Z48" i="4"/>
  <c r="AB48" i="4"/>
  <c r="O49" i="4"/>
  <c r="Q49" i="4"/>
  <c r="Y49" i="4"/>
  <c r="Z49" i="4"/>
  <c r="AB49" i="4"/>
  <c r="P50" i="4"/>
  <c r="Q50" i="4"/>
  <c r="W50" i="4"/>
  <c r="AA50" i="4"/>
  <c r="AB50" i="4"/>
  <c r="P51" i="4"/>
  <c r="Q51" i="4"/>
  <c r="W51" i="4"/>
  <c r="AB51" i="4"/>
  <c r="P53" i="4"/>
  <c r="Q53" i="4"/>
  <c r="R53" i="4"/>
  <c r="S53" i="4"/>
  <c r="T53" i="4"/>
  <c r="U53" i="4"/>
  <c r="V53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P54" i="4"/>
  <c r="Q54" i="4"/>
  <c r="R54" i="4"/>
  <c r="S54" i="4"/>
  <c r="T54" i="4"/>
  <c r="U54" i="4"/>
  <c r="V54" i="4"/>
  <c r="P55" i="4"/>
  <c r="Q55" i="4"/>
  <c r="R55" i="4"/>
  <c r="S55" i="4"/>
  <c r="T55" i="4"/>
  <c r="U55" i="4"/>
  <c r="V55" i="4"/>
  <c r="P58" i="4"/>
  <c r="Q58" i="4"/>
  <c r="R58" i="4"/>
  <c r="S58" i="4"/>
  <c r="T58" i="4"/>
  <c r="U58" i="4"/>
  <c r="V58" i="4"/>
  <c r="E5" i="31"/>
  <c r="E6" i="31"/>
  <c r="E7" i="31"/>
  <c r="E8" i="31"/>
  <c r="E9" i="31"/>
  <c r="E10" i="31"/>
  <c r="E11" i="31"/>
  <c r="E41" i="31"/>
  <c r="E42" i="31"/>
  <c r="E43" i="31"/>
  <c r="E44" i="31"/>
  <c r="E45" i="31"/>
  <c r="E46" i="31"/>
  <c r="E47" i="31"/>
  <c r="E50" i="31"/>
  <c r="E51" i="31"/>
  <c r="V57" i="31"/>
  <c r="U57" i="31"/>
  <c r="T57" i="31"/>
  <c r="R57" i="31"/>
  <c r="Q57" i="31"/>
  <c r="P57" i="31"/>
  <c r="S57" i="31"/>
  <c r="D44" i="16"/>
  <c r="D45" i="16"/>
  <c r="F20" i="16"/>
  <c r="F22" i="16"/>
  <c r="AF41" i="16"/>
  <c r="AG41" i="16"/>
  <c r="AH41" i="16"/>
  <c r="AI41" i="16"/>
  <c r="AJ41" i="16"/>
  <c r="AF42" i="16"/>
  <c r="AG42" i="16"/>
  <c r="AH42" i="16"/>
  <c r="AI42" i="16"/>
  <c r="AJ42" i="16"/>
  <c r="Q5" i="16"/>
  <c r="Q6" i="16"/>
  <c r="Q4" i="16"/>
  <c r="P5" i="16"/>
  <c r="P6" i="16"/>
  <c r="P4" i="16"/>
  <c r="O5" i="16"/>
  <c r="O6" i="16"/>
  <c r="O4" i="16"/>
  <c r="N5" i="16"/>
  <c r="N6" i="16"/>
  <c r="N4" i="16"/>
  <c r="M5" i="16"/>
  <c r="M6" i="16"/>
  <c r="M4" i="16"/>
  <c r="AW28" i="16"/>
  <c r="AW44" i="16"/>
  <c r="AV41" i="16"/>
  <c r="AW41" i="16"/>
  <c r="AW42" i="16"/>
  <c r="K5" i="16"/>
  <c r="K6" i="16"/>
  <c r="K4" i="16"/>
  <c r="AV28" i="16"/>
  <c r="AV44" i="16"/>
  <c r="AV42" i="16"/>
  <c r="J5" i="16"/>
  <c r="J6" i="16"/>
  <c r="J4" i="16"/>
  <c r="AU28" i="16"/>
  <c r="AU44" i="16"/>
  <c r="AU42" i="16"/>
  <c r="I5" i="16"/>
  <c r="I6" i="16"/>
  <c r="I4" i="16"/>
  <c r="AT28" i="16"/>
  <c r="AT44" i="16"/>
  <c r="AT42" i="16"/>
  <c r="H5" i="16"/>
  <c r="H6" i="16"/>
  <c r="H4" i="16"/>
  <c r="H20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M22" i="16"/>
  <c r="F41" i="16"/>
  <c r="K21" i="16"/>
  <c r="B9" i="16"/>
  <c r="L29" i="16"/>
  <c r="M29" i="16"/>
  <c r="L30" i="16"/>
  <c r="M30" i="16"/>
  <c r="L31" i="16"/>
  <c r="M31" i="16"/>
  <c r="L32" i="16"/>
  <c r="M32" i="16"/>
  <c r="L33" i="16"/>
  <c r="M33" i="16"/>
  <c r="L34" i="16"/>
  <c r="M34" i="16"/>
  <c r="L35" i="16"/>
  <c r="M35" i="16"/>
  <c r="L36" i="16"/>
  <c r="M36" i="16"/>
  <c r="L37" i="16"/>
  <c r="M37" i="16"/>
  <c r="L38" i="16"/>
  <c r="M38" i="16"/>
  <c r="L39" i="16"/>
  <c r="M39" i="16"/>
  <c r="L40" i="16"/>
  <c r="M40" i="16"/>
  <c r="H22" i="16"/>
  <c r="AB5" i="39"/>
  <c r="AB6" i="39"/>
  <c r="AB7" i="3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1" i="39"/>
  <c r="AB32" i="39"/>
  <c r="AB33" i="39"/>
  <c r="AB34" i="39"/>
  <c r="AB35" i="39"/>
  <c r="AB36" i="39"/>
  <c r="AB37" i="39"/>
  <c r="AB38" i="39"/>
  <c r="AB39" i="39"/>
  <c r="AB40" i="39"/>
  <c r="AB41" i="39"/>
  <c r="AB42" i="39"/>
  <c r="AB43" i="39"/>
  <c r="AB44" i="39"/>
  <c r="AB45" i="39"/>
  <c r="AB46" i="39"/>
  <c r="AB47" i="39"/>
  <c r="AB48" i="39"/>
  <c r="AB49" i="39"/>
  <c r="AB50" i="39"/>
  <c r="AB51" i="39"/>
  <c r="AA50" i="39"/>
  <c r="AA47" i="39"/>
  <c r="AA46" i="39"/>
  <c r="AA45" i="39"/>
  <c r="AA44" i="39"/>
  <c r="AA43" i="39"/>
  <c r="AA42" i="39"/>
  <c r="AA41" i="39"/>
  <c r="AA40" i="39"/>
  <c r="AA39" i="39"/>
  <c r="AA38" i="39"/>
  <c r="AA37" i="39"/>
  <c r="AA36" i="39"/>
  <c r="AA35" i="39"/>
  <c r="AA34" i="39"/>
  <c r="AA33" i="39"/>
  <c r="AA32" i="39"/>
  <c r="AA31" i="39"/>
  <c r="AA30" i="39"/>
  <c r="AA29" i="39"/>
  <c r="AA28" i="39"/>
  <c r="AA27" i="39"/>
  <c r="AA26" i="39"/>
  <c r="AA25" i="39"/>
  <c r="AA24" i="39"/>
  <c r="AA23" i="39"/>
  <c r="AA22" i="39"/>
  <c r="AA21" i="39"/>
  <c r="AA20" i="39"/>
  <c r="AA19" i="39"/>
  <c r="AA18" i="39"/>
  <c r="AA17" i="39"/>
  <c r="AA16" i="39"/>
  <c r="AA15" i="39"/>
  <c r="AA14" i="39"/>
  <c r="AA13" i="39"/>
  <c r="AA12" i="39"/>
  <c r="AA11" i="39"/>
  <c r="AA10" i="39"/>
  <c r="AA9" i="39"/>
  <c r="AA8" i="39"/>
  <c r="AA7" i="39"/>
  <c r="AA6" i="39"/>
  <c r="AA5" i="39"/>
  <c r="H56" i="41"/>
  <c r="P4" i="41"/>
  <c r="Q4" i="41"/>
  <c r="P5" i="41"/>
  <c r="Q5" i="41"/>
  <c r="W5" i="41"/>
  <c r="AA5" i="41"/>
  <c r="AB5" i="41"/>
  <c r="P6" i="41"/>
  <c r="Q6" i="41"/>
  <c r="W6" i="41"/>
  <c r="AA6" i="41"/>
  <c r="AB6" i="41"/>
  <c r="P7" i="41"/>
  <c r="Q7" i="41"/>
  <c r="W7" i="41"/>
  <c r="AA7" i="41"/>
  <c r="AB7" i="41"/>
  <c r="P8" i="41"/>
  <c r="Q8" i="41"/>
  <c r="W8" i="41"/>
  <c r="AA8" i="41"/>
  <c r="AB8" i="41"/>
  <c r="P9" i="41"/>
  <c r="Q9" i="41"/>
  <c r="W9" i="41"/>
  <c r="AA9" i="41"/>
  <c r="AB9" i="41"/>
  <c r="P10" i="41"/>
  <c r="Q10" i="41"/>
  <c r="W10" i="41"/>
  <c r="AA10" i="41"/>
  <c r="AB10" i="41"/>
  <c r="P11" i="41"/>
  <c r="Q11" i="41"/>
  <c r="W11" i="41"/>
  <c r="AB11" i="41"/>
  <c r="O12" i="41"/>
  <c r="Q12" i="41"/>
  <c r="AA12" i="41"/>
  <c r="AB12" i="41"/>
  <c r="O13" i="41"/>
  <c r="Q13" i="41"/>
  <c r="AA13" i="41"/>
  <c r="AB13" i="41"/>
  <c r="P14" i="41"/>
  <c r="Q14" i="41"/>
  <c r="W14" i="41"/>
  <c r="X14" i="41"/>
  <c r="Y14" i="41"/>
  <c r="Z14" i="41"/>
  <c r="AA14" i="41"/>
  <c r="AB14" i="41"/>
  <c r="P15" i="41"/>
  <c r="Q15" i="41"/>
  <c r="W15" i="41"/>
  <c r="X15" i="41"/>
  <c r="Y15" i="41"/>
  <c r="Z15" i="41"/>
  <c r="AA15" i="41"/>
  <c r="AB15" i="41"/>
  <c r="P16" i="41"/>
  <c r="Q16" i="41"/>
  <c r="W16" i="41"/>
  <c r="X16" i="41"/>
  <c r="Y16" i="41"/>
  <c r="Z16" i="41"/>
  <c r="AA16" i="41"/>
  <c r="AB16" i="41"/>
  <c r="P17" i="41"/>
  <c r="Q17" i="41"/>
  <c r="W17" i="41"/>
  <c r="X17" i="41"/>
  <c r="Y17" i="41"/>
  <c r="Z17" i="41"/>
  <c r="AA17" i="41"/>
  <c r="AB17" i="41"/>
  <c r="P18" i="41"/>
  <c r="Q18" i="41"/>
  <c r="W18" i="41"/>
  <c r="X18" i="41"/>
  <c r="Y18" i="41"/>
  <c r="Z18" i="41"/>
  <c r="AA18" i="41"/>
  <c r="AB18" i="41"/>
  <c r="P19" i="41"/>
  <c r="Q19" i="41"/>
  <c r="W19" i="41"/>
  <c r="X19" i="41"/>
  <c r="Y19" i="41"/>
  <c r="Z19" i="41"/>
  <c r="AA19" i="41"/>
  <c r="AB19" i="41"/>
  <c r="P20" i="41"/>
  <c r="Q20" i="41"/>
  <c r="W20" i="41"/>
  <c r="X20" i="41"/>
  <c r="Y20" i="41"/>
  <c r="Z20" i="41"/>
  <c r="AA20" i="41"/>
  <c r="AB20" i="41"/>
  <c r="O21" i="41"/>
  <c r="Q21" i="41"/>
  <c r="AA21" i="41"/>
  <c r="AB21" i="41"/>
  <c r="O22" i="41"/>
  <c r="Q22" i="41"/>
  <c r="AA22" i="41"/>
  <c r="AB22" i="41"/>
  <c r="P23" i="41"/>
  <c r="Q23" i="41"/>
  <c r="W23" i="41"/>
  <c r="X23" i="41"/>
  <c r="Y23" i="41"/>
  <c r="Z23" i="41"/>
  <c r="AA23" i="41"/>
  <c r="AB23" i="41"/>
  <c r="P24" i="41"/>
  <c r="Q24" i="41"/>
  <c r="W24" i="41"/>
  <c r="X24" i="41"/>
  <c r="Y24" i="41"/>
  <c r="Z24" i="41"/>
  <c r="AA24" i="41"/>
  <c r="AB24" i="41"/>
  <c r="P25" i="41"/>
  <c r="Q25" i="41"/>
  <c r="W25" i="41"/>
  <c r="X25" i="41"/>
  <c r="Y25" i="41"/>
  <c r="Z25" i="41"/>
  <c r="AA25" i="41"/>
  <c r="AB25" i="41"/>
  <c r="P26" i="41"/>
  <c r="Q26" i="41"/>
  <c r="W26" i="41"/>
  <c r="X26" i="41"/>
  <c r="Y26" i="41"/>
  <c r="Z26" i="41"/>
  <c r="AA26" i="41"/>
  <c r="AB26" i="41"/>
  <c r="P27" i="41"/>
  <c r="Q27" i="41"/>
  <c r="W27" i="41"/>
  <c r="X27" i="41"/>
  <c r="Y27" i="41"/>
  <c r="Z27" i="41"/>
  <c r="AA27" i="41"/>
  <c r="AB27" i="41"/>
  <c r="P28" i="41"/>
  <c r="Q28" i="41"/>
  <c r="W28" i="41"/>
  <c r="X28" i="41"/>
  <c r="Y28" i="41"/>
  <c r="Z28" i="41"/>
  <c r="AA28" i="41"/>
  <c r="AB28" i="41"/>
  <c r="P29" i="41"/>
  <c r="Q29" i="41"/>
  <c r="W29" i="41"/>
  <c r="X29" i="41"/>
  <c r="Y29" i="41"/>
  <c r="Z29" i="41"/>
  <c r="AA29" i="41"/>
  <c r="AB29" i="41"/>
  <c r="O30" i="41"/>
  <c r="Q30" i="41"/>
  <c r="AA30" i="41"/>
  <c r="AB30" i="41"/>
  <c r="O31" i="41"/>
  <c r="Q31" i="41"/>
  <c r="AA31" i="41"/>
  <c r="AB31" i="41"/>
  <c r="P32" i="41"/>
  <c r="Q32" i="41"/>
  <c r="W32" i="41"/>
  <c r="X32" i="41"/>
  <c r="Y32" i="41"/>
  <c r="Z32" i="41"/>
  <c r="AA32" i="41"/>
  <c r="AB32" i="41"/>
  <c r="P33" i="41"/>
  <c r="Q33" i="41"/>
  <c r="W33" i="41"/>
  <c r="X33" i="41"/>
  <c r="Y33" i="41"/>
  <c r="Z33" i="41"/>
  <c r="AA33" i="41"/>
  <c r="AB33" i="41"/>
  <c r="P34" i="41"/>
  <c r="Q34" i="41"/>
  <c r="W34" i="41"/>
  <c r="X34" i="41"/>
  <c r="Y34" i="41"/>
  <c r="Z34" i="41"/>
  <c r="AA34" i="41"/>
  <c r="AB34" i="41"/>
  <c r="P35" i="41"/>
  <c r="Q35" i="41"/>
  <c r="W35" i="41"/>
  <c r="X35" i="41"/>
  <c r="Y35" i="41"/>
  <c r="Z35" i="41"/>
  <c r="AA35" i="41"/>
  <c r="AB35" i="41"/>
  <c r="P36" i="41"/>
  <c r="Q36" i="41"/>
  <c r="W36" i="41"/>
  <c r="X36" i="41"/>
  <c r="Y36" i="41"/>
  <c r="Z36" i="41"/>
  <c r="AA36" i="41"/>
  <c r="AB36" i="41"/>
  <c r="P37" i="41"/>
  <c r="Q37" i="41"/>
  <c r="W37" i="41"/>
  <c r="X37" i="41"/>
  <c r="Y37" i="41"/>
  <c r="Z37" i="41"/>
  <c r="AA37" i="41"/>
  <c r="AB37" i="41"/>
  <c r="P38" i="41"/>
  <c r="Q38" i="41"/>
  <c r="W38" i="41"/>
  <c r="X38" i="41"/>
  <c r="Y38" i="41"/>
  <c r="Z38" i="41"/>
  <c r="AA38" i="41"/>
  <c r="AB38" i="41"/>
  <c r="O39" i="41"/>
  <c r="Q39" i="41"/>
  <c r="AA39" i="41"/>
  <c r="AB39" i="41"/>
  <c r="O40" i="41"/>
  <c r="Q40" i="41"/>
  <c r="AA40" i="41"/>
  <c r="AB40" i="41"/>
  <c r="P41" i="41"/>
  <c r="Q41" i="41"/>
  <c r="W41" i="41"/>
  <c r="X41" i="41"/>
  <c r="Y41" i="41"/>
  <c r="Z41" i="41"/>
  <c r="AA41" i="41"/>
  <c r="AB41" i="41"/>
  <c r="P42" i="41"/>
  <c r="Q42" i="41"/>
  <c r="W42" i="41"/>
  <c r="X42" i="41"/>
  <c r="Y42" i="41"/>
  <c r="Z42" i="41"/>
  <c r="AA42" i="41"/>
  <c r="AB42" i="41"/>
  <c r="P43" i="41"/>
  <c r="Q43" i="41"/>
  <c r="W43" i="41"/>
  <c r="X43" i="41"/>
  <c r="Y43" i="41"/>
  <c r="Z43" i="41"/>
  <c r="AA43" i="41"/>
  <c r="AB43" i="41"/>
  <c r="P44" i="41"/>
  <c r="Q44" i="41"/>
  <c r="W44" i="41"/>
  <c r="X44" i="41"/>
  <c r="Y44" i="41"/>
  <c r="Z44" i="41"/>
  <c r="AA44" i="41"/>
  <c r="AB44" i="41"/>
  <c r="P45" i="41"/>
  <c r="Q45" i="41"/>
  <c r="W45" i="41"/>
  <c r="X45" i="41"/>
  <c r="Y45" i="41"/>
  <c r="Z45" i="41"/>
  <c r="AA45" i="41"/>
  <c r="AB45" i="41"/>
  <c r="P46" i="41"/>
  <c r="Q46" i="41"/>
  <c r="W46" i="41"/>
  <c r="X46" i="41"/>
  <c r="Y46" i="41"/>
  <c r="Z46" i="41"/>
  <c r="AA46" i="41"/>
  <c r="AB46" i="41"/>
  <c r="P47" i="41"/>
  <c r="Q47" i="41"/>
  <c r="W47" i="41"/>
  <c r="X47" i="41"/>
  <c r="Y47" i="41"/>
  <c r="Z47" i="41"/>
  <c r="AA47" i="41"/>
  <c r="AB47" i="41"/>
  <c r="O48" i="41"/>
  <c r="Q48" i="41"/>
  <c r="Y48" i="41"/>
  <c r="Z48" i="41"/>
  <c r="AB48" i="41"/>
  <c r="O49" i="41"/>
  <c r="Q49" i="41"/>
  <c r="Y49" i="41"/>
  <c r="Z49" i="41"/>
  <c r="AB49" i="41"/>
  <c r="P50" i="41"/>
  <c r="Q50" i="41"/>
  <c r="W50" i="41"/>
  <c r="X50" i="41"/>
  <c r="Y50" i="41"/>
  <c r="Z50" i="41"/>
  <c r="AA50" i="41"/>
  <c r="AB50" i="41"/>
  <c r="P51" i="41"/>
  <c r="Q51" i="41"/>
  <c r="W51" i="41"/>
  <c r="X51" i="41"/>
  <c r="Y51" i="41"/>
  <c r="Z51" i="41"/>
  <c r="AA51" i="41"/>
  <c r="AB51" i="41"/>
  <c r="P53" i="41"/>
  <c r="Q53" i="41"/>
  <c r="R53" i="41"/>
  <c r="S53" i="41"/>
  <c r="T53" i="41"/>
  <c r="U53" i="41"/>
  <c r="V53" i="41"/>
  <c r="D5" i="41"/>
  <c r="D6" i="41"/>
  <c r="D7" i="41"/>
  <c r="D8" i="41"/>
  <c r="D9" i="41"/>
  <c r="D10" i="4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P54" i="41"/>
  <c r="Q54" i="41"/>
  <c r="R54" i="41"/>
  <c r="S54" i="41"/>
  <c r="T54" i="41"/>
  <c r="U54" i="41"/>
  <c r="V54" i="41"/>
  <c r="P55" i="41"/>
  <c r="Q55" i="41"/>
  <c r="R55" i="41"/>
  <c r="S55" i="41"/>
  <c r="T55" i="41"/>
  <c r="U55" i="41"/>
  <c r="V55" i="41"/>
  <c r="P58" i="41"/>
  <c r="Q58" i="41"/>
  <c r="R58" i="41"/>
  <c r="S58" i="41"/>
  <c r="T58" i="41"/>
  <c r="U58" i="41"/>
  <c r="V58" i="41"/>
  <c r="P59" i="41"/>
  <c r="Q59" i="41"/>
  <c r="R59" i="41"/>
  <c r="S59" i="41"/>
  <c r="T59" i="41"/>
  <c r="U59" i="41"/>
  <c r="V59" i="41"/>
  <c r="AL30" i="16"/>
  <c r="AL31" i="16"/>
  <c r="AL32" i="16"/>
  <c r="AL33" i="16"/>
  <c r="AA29" i="35"/>
  <c r="AA38" i="35"/>
  <c r="AA47" i="35"/>
  <c r="AL34" i="16"/>
  <c r="AL35" i="16"/>
  <c r="AA20" i="37"/>
  <c r="AA29" i="37"/>
  <c r="AA38" i="37"/>
  <c r="AA47" i="37"/>
  <c r="AL36" i="16"/>
  <c r="AA20" i="38"/>
  <c r="AL37" i="16"/>
  <c r="AL38" i="16"/>
  <c r="AA20" i="40"/>
  <c r="AA29" i="40"/>
  <c r="AA38" i="40"/>
  <c r="AA47" i="40"/>
  <c r="AL39" i="16"/>
  <c r="AL40" i="16"/>
  <c r="AQ28" i="16"/>
  <c r="AQ44" i="16"/>
  <c r="AQ42" i="16"/>
  <c r="H52" i="40"/>
  <c r="G52" i="40"/>
  <c r="F52" i="40"/>
  <c r="H52" i="39"/>
  <c r="G52" i="39"/>
  <c r="F52" i="39"/>
  <c r="H52" i="37"/>
  <c r="G52" i="37"/>
  <c r="F52" i="37"/>
  <c r="AA47" i="36"/>
  <c r="H52" i="35"/>
  <c r="G52" i="35"/>
  <c r="F52" i="35"/>
  <c r="H52" i="32"/>
  <c r="G52" i="32"/>
  <c r="F52" i="32"/>
  <c r="H52" i="4"/>
  <c r="H52" i="31"/>
  <c r="H52" i="34"/>
  <c r="H52" i="38"/>
  <c r="H55" i="41"/>
  <c r="I40" i="16"/>
  <c r="H56" i="39"/>
  <c r="P38" i="39"/>
  <c r="Q38" i="39"/>
  <c r="W38" i="39"/>
  <c r="O39" i="39"/>
  <c r="Q39" i="39"/>
  <c r="L59" i="41"/>
  <c r="L59" i="40"/>
  <c r="L59" i="39"/>
  <c r="L59" i="38"/>
  <c r="L59" i="37"/>
  <c r="AA20" i="36"/>
  <c r="AA29" i="36"/>
  <c r="AA38" i="36"/>
  <c r="L59" i="36"/>
  <c r="AA20" i="35"/>
  <c r="L59" i="35"/>
  <c r="L59" i="34"/>
  <c r="L59" i="33"/>
  <c r="L59" i="32"/>
  <c r="L59" i="31"/>
  <c r="C4" i="4"/>
  <c r="V29" i="16"/>
  <c r="V30" i="16"/>
  <c r="V31" i="16"/>
  <c r="V32" i="16"/>
  <c r="C4" i="34"/>
  <c r="V33" i="16"/>
  <c r="V34" i="16"/>
  <c r="V35" i="16"/>
  <c r="V36" i="16"/>
  <c r="V37" i="16"/>
  <c r="V38" i="16"/>
  <c r="V39" i="16"/>
  <c r="V40" i="16"/>
  <c r="V42" i="16"/>
  <c r="C4" i="41"/>
  <c r="G13" i="41"/>
  <c r="F13" i="41"/>
  <c r="G22" i="41"/>
  <c r="F22" i="41"/>
  <c r="G31" i="41"/>
  <c r="F31" i="41"/>
  <c r="G40" i="41"/>
  <c r="F40" i="41"/>
  <c r="G49" i="41"/>
  <c r="F49" i="41"/>
  <c r="G53" i="41"/>
  <c r="F53" i="41"/>
  <c r="G56" i="41"/>
  <c r="F56" i="41"/>
  <c r="Y44" i="16"/>
  <c r="X44" i="16"/>
  <c r="W44" i="16"/>
  <c r="V43" i="16"/>
  <c r="V44" i="16"/>
  <c r="U44" i="16"/>
  <c r="S44" i="16"/>
  <c r="T44" i="16"/>
  <c r="Y43" i="16"/>
  <c r="X43" i="16"/>
  <c r="W43" i="16"/>
  <c r="U43" i="16"/>
  <c r="T43" i="16"/>
  <c r="S43" i="16"/>
  <c r="G52" i="4"/>
  <c r="F52" i="4"/>
  <c r="C4" i="33"/>
  <c r="H56" i="33"/>
  <c r="P4" i="33"/>
  <c r="Q4" i="33"/>
  <c r="D5" i="33"/>
  <c r="P5" i="33"/>
  <c r="Q5" i="33"/>
  <c r="D6" i="33"/>
  <c r="P6" i="33"/>
  <c r="Q6" i="33"/>
  <c r="D7" i="33"/>
  <c r="P7" i="33"/>
  <c r="Q7" i="33"/>
  <c r="D8" i="33"/>
  <c r="P8" i="33"/>
  <c r="Q8" i="33"/>
  <c r="D9" i="33"/>
  <c r="P9" i="33"/>
  <c r="Q9" i="33"/>
  <c r="D10" i="33"/>
  <c r="P10" i="33"/>
  <c r="Q10" i="33"/>
  <c r="D11" i="33"/>
  <c r="P11" i="33"/>
  <c r="Q11" i="33"/>
  <c r="D12" i="33"/>
  <c r="D13" i="33"/>
  <c r="G13" i="33"/>
  <c r="F13" i="33"/>
  <c r="D14" i="33"/>
  <c r="P14" i="33"/>
  <c r="Q14" i="33"/>
  <c r="D15" i="33"/>
  <c r="P15" i="33"/>
  <c r="Q15" i="33"/>
  <c r="D16" i="33"/>
  <c r="P16" i="33"/>
  <c r="Q16" i="33"/>
  <c r="D17" i="33"/>
  <c r="P17" i="33"/>
  <c r="Q17" i="33"/>
  <c r="D18" i="33"/>
  <c r="P18" i="33"/>
  <c r="Q18" i="33"/>
  <c r="D19" i="33"/>
  <c r="P19" i="33"/>
  <c r="Q19" i="33"/>
  <c r="D20" i="33"/>
  <c r="P20" i="33"/>
  <c r="Q20" i="33"/>
  <c r="D21" i="33"/>
  <c r="D22" i="33"/>
  <c r="G22" i="33"/>
  <c r="F22" i="33"/>
  <c r="D23" i="33"/>
  <c r="P23" i="33"/>
  <c r="Q23" i="33"/>
  <c r="D24" i="33"/>
  <c r="P24" i="33"/>
  <c r="Q24" i="33"/>
  <c r="D25" i="33"/>
  <c r="P25" i="33"/>
  <c r="Q25" i="33"/>
  <c r="D26" i="33"/>
  <c r="P26" i="33"/>
  <c r="Q26" i="33"/>
  <c r="D27" i="33"/>
  <c r="P27" i="33"/>
  <c r="Q27" i="33"/>
  <c r="D28" i="33"/>
  <c r="P28" i="33"/>
  <c r="Q28" i="33"/>
  <c r="D29" i="33"/>
  <c r="P29" i="33"/>
  <c r="Q29" i="33"/>
  <c r="D30" i="33"/>
  <c r="D31" i="33"/>
  <c r="G31" i="33"/>
  <c r="F31" i="33"/>
  <c r="D32" i="33"/>
  <c r="P32" i="33"/>
  <c r="Q32" i="33"/>
  <c r="D33" i="33"/>
  <c r="P33" i="33"/>
  <c r="Q33" i="33"/>
  <c r="D34" i="33"/>
  <c r="P34" i="33"/>
  <c r="Q34" i="33"/>
  <c r="D35" i="33"/>
  <c r="P35" i="33"/>
  <c r="Q35" i="33"/>
  <c r="D36" i="33"/>
  <c r="P36" i="33"/>
  <c r="Q36" i="33"/>
  <c r="D37" i="33"/>
  <c r="P37" i="33"/>
  <c r="Q37" i="33"/>
  <c r="D38" i="33"/>
  <c r="P38" i="33"/>
  <c r="Q38" i="33"/>
  <c r="D39" i="33"/>
  <c r="D40" i="33"/>
  <c r="G40" i="33"/>
  <c r="F40" i="33"/>
  <c r="D41" i="33"/>
  <c r="P41" i="33"/>
  <c r="Q41" i="33"/>
  <c r="D42" i="33"/>
  <c r="P42" i="33"/>
  <c r="Q42" i="33"/>
  <c r="D43" i="33"/>
  <c r="P43" i="33"/>
  <c r="Q43" i="33"/>
  <c r="D44" i="33"/>
  <c r="P44" i="33"/>
  <c r="Q44" i="33"/>
  <c r="D45" i="33"/>
  <c r="P45" i="33"/>
  <c r="Q45" i="33"/>
  <c r="D46" i="33"/>
  <c r="P46" i="33"/>
  <c r="Q46" i="33"/>
  <c r="D47" i="33"/>
  <c r="P47" i="33"/>
  <c r="Q47" i="33"/>
  <c r="D48" i="33"/>
  <c r="D49" i="33"/>
  <c r="G49" i="33"/>
  <c r="F49" i="33"/>
  <c r="D50" i="33"/>
  <c r="P50" i="33"/>
  <c r="Q50" i="33"/>
  <c r="D51" i="33"/>
  <c r="P51" i="33"/>
  <c r="Q51" i="33"/>
  <c r="G53" i="33"/>
  <c r="F53" i="33"/>
  <c r="P53" i="33"/>
  <c r="Q53" i="33"/>
  <c r="R53" i="33"/>
  <c r="S53" i="33"/>
  <c r="T53" i="33"/>
  <c r="U53" i="33"/>
  <c r="V53" i="33"/>
  <c r="P54" i="33"/>
  <c r="Q54" i="33"/>
  <c r="R54" i="33"/>
  <c r="S54" i="33"/>
  <c r="T54" i="33"/>
  <c r="U54" i="33"/>
  <c r="V54" i="33"/>
  <c r="P55" i="33"/>
  <c r="Q55" i="33"/>
  <c r="R55" i="33"/>
  <c r="S55" i="33"/>
  <c r="T55" i="33"/>
  <c r="U55" i="33"/>
  <c r="V55" i="33"/>
  <c r="G56" i="33"/>
  <c r="F56" i="33"/>
  <c r="C4" i="32"/>
  <c r="H56" i="32"/>
  <c r="P4" i="32"/>
  <c r="Q4" i="32"/>
  <c r="D5" i="32"/>
  <c r="P5" i="32"/>
  <c r="Q5" i="32"/>
  <c r="D6" i="32"/>
  <c r="P6" i="32"/>
  <c r="Q6" i="32"/>
  <c r="D7" i="32"/>
  <c r="P7" i="32"/>
  <c r="Q7" i="32"/>
  <c r="D8" i="32"/>
  <c r="P8" i="32"/>
  <c r="Q8" i="32"/>
  <c r="D9" i="32"/>
  <c r="P9" i="32"/>
  <c r="Q9" i="32"/>
  <c r="D10" i="32"/>
  <c r="P10" i="32"/>
  <c r="Q10" i="32"/>
  <c r="D11" i="32"/>
  <c r="P11" i="32"/>
  <c r="Q11" i="32"/>
  <c r="D12" i="32"/>
  <c r="D13" i="32"/>
  <c r="G13" i="32"/>
  <c r="F13" i="32"/>
  <c r="D14" i="32"/>
  <c r="P14" i="32"/>
  <c r="Q14" i="32"/>
  <c r="D15" i="32"/>
  <c r="P15" i="32"/>
  <c r="Q15" i="32"/>
  <c r="D16" i="32"/>
  <c r="P16" i="32"/>
  <c r="Q16" i="32"/>
  <c r="D17" i="32"/>
  <c r="P17" i="32"/>
  <c r="Q17" i="32"/>
  <c r="D18" i="32"/>
  <c r="P18" i="32"/>
  <c r="Q18" i="32"/>
  <c r="D19" i="32"/>
  <c r="P19" i="32"/>
  <c r="Q19" i="32"/>
  <c r="D20" i="32"/>
  <c r="P20" i="32"/>
  <c r="Q20" i="32"/>
  <c r="D21" i="32"/>
  <c r="D22" i="32"/>
  <c r="G22" i="32"/>
  <c r="F22" i="32"/>
  <c r="D23" i="32"/>
  <c r="P23" i="32"/>
  <c r="Q23" i="32"/>
  <c r="D24" i="32"/>
  <c r="P24" i="32"/>
  <c r="Q24" i="32"/>
  <c r="D25" i="32"/>
  <c r="P25" i="32"/>
  <c r="Q25" i="32"/>
  <c r="D26" i="32"/>
  <c r="P26" i="32"/>
  <c r="Q26" i="32"/>
  <c r="D27" i="32"/>
  <c r="P27" i="32"/>
  <c r="Q27" i="32"/>
  <c r="D28" i="32"/>
  <c r="P28" i="32"/>
  <c r="Q28" i="32"/>
  <c r="D29" i="32"/>
  <c r="P29" i="32"/>
  <c r="Q29" i="32"/>
  <c r="D30" i="32"/>
  <c r="D31" i="32"/>
  <c r="G31" i="32"/>
  <c r="F31" i="32"/>
  <c r="D32" i="32"/>
  <c r="P32" i="32"/>
  <c r="Q32" i="32"/>
  <c r="D33" i="32"/>
  <c r="P33" i="32"/>
  <c r="Q33" i="32"/>
  <c r="D34" i="32"/>
  <c r="P34" i="32"/>
  <c r="Q34" i="32"/>
  <c r="D35" i="32"/>
  <c r="P35" i="32"/>
  <c r="Q35" i="32"/>
  <c r="D36" i="32"/>
  <c r="P36" i="32"/>
  <c r="Q36" i="32"/>
  <c r="D37" i="32"/>
  <c r="P37" i="32"/>
  <c r="Q37" i="32"/>
  <c r="D38" i="32"/>
  <c r="P38" i="32"/>
  <c r="Q38" i="32"/>
  <c r="D39" i="32"/>
  <c r="D40" i="32"/>
  <c r="G40" i="32"/>
  <c r="F40" i="32"/>
  <c r="D41" i="32"/>
  <c r="P41" i="32"/>
  <c r="Q41" i="32"/>
  <c r="D42" i="32"/>
  <c r="P42" i="32"/>
  <c r="Q42" i="32"/>
  <c r="D43" i="32"/>
  <c r="P43" i="32"/>
  <c r="Q43" i="32"/>
  <c r="D44" i="32"/>
  <c r="P44" i="32"/>
  <c r="Q44" i="32"/>
  <c r="D45" i="32"/>
  <c r="P45" i="32"/>
  <c r="Q45" i="32"/>
  <c r="D46" i="32"/>
  <c r="P46" i="32"/>
  <c r="Q46" i="32"/>
  <c r="D47" i="32"/>
  <c r="P47" i="32"/>
  <c r="Q47" i="32"/>
  <c r="D48" i="32"/>
  <c r="D49" i="32"/>
  <c r="G49" i="32"/>
  <c r="F49" i="32"/>
  <c r="D50" i="32"/>
  <c r="P50" i="32"/>
  <c r="Q50" i="32"/>
  <c r="D51" i="32"/>
  <c r="P51" i="32"/>
  <c r="Q51" i="32"/>
  <c r="G53" i="32"/>
  <c r="F53" i="32"/>
  <c r="P53" i="32"/>
  <c r="Q53" i="32"/>
  <c r="R53" i="32"/>
  <c r="S53" i="32"/>
  <c r="T53" i="32"/>
  <c r="U53" i="32"/>
  <c r="V53" i="32"/>
  <c r="P54" i="32"/>
  <c r="Q54" i="32"/>
  <c r="R54" i="32"/>
  <c r="S54" i="32"/>
  <c r="T54" i="32"/>
  <c r="U54" i="32"/>
  <c r="V54" i="32"/>
  <c r="P55" i="32"/>
  <c r="Q55" i="32"/>
  <c r="R55" i="32"/>
  <c r="S55" i="32"/>
  <c r="T55" i="32"/>
  <c r="U55" i="32"/>
  <c r="V55" i="32"/>
  <c r="G56" i="32"/>
  <c r="F56" i="32"/>
  <c r="AA9" i="40"/>
  <c r="AA10" i="40"/>
  <c r="AA16" i="40"/>
  <c r="AA18" i="40"/>
  <c r="AA24" i="40"/>
  <c r="AA27" i="40"/>
  <c r="AA26" i="40"/>
  <c r="AA28" i="40"/>
  <c r="AA34" i="40"/>
  <c r="AA36" i="40"/>
  <c r="AA42" i="40"/>
  <c r="AA44" i="40"/>
  <c r="AA43" i="40"/>
  <c r="AA9" i="38"/>
  <c r="AA18" i="38"/>
  <c r="AA17" i="38"/>
  <c r="AA32" i="38"/>
  <c r="AA34" i="38"/>
  <c r="AA37" i="38"/>
  <c r="AA41" i="38"/>
  <c r="AA42" i="38"/>
  <c r="AA43" i="38"/>
  <c r="AA50" i="38"/>
  <c r="AA8" i="37"/>
  <c r="AA7" i="37"/>
  <c r="AA9" i="37"/>
  <c r="AA23" i="37"/>
  <c r="AA27" i="37"/>
  <c r="AA26" i="37"/>
  <c r="AA32" i="37"/>
  <c r="AA34" i="37"/>
  <c r="AA36" i="37"/>
  <c r="AA43" i="37"/>
  <c r="AA14" i="36"/>
  <c r="AA32" i="36"/>
  <c r="AA41" i="36"/>
  <c r="AA46" i="36"/>
  <c r="AA45" i="36"/>
  <c r="AA27" i="35"/>
  <c r="AA33" i="35"/>
  <c r="AA42" i="35"/>
  <c r="AA41" i="35"/>
  <c r="AA44" i="35"/>
  <c r="AA50" i="35"/>
  <c r="AA33" i="33"/>
  <c r="AA18" i="33"/>
  <c r="AA17" i="33"/>
  <c r="AA19" i="33"/>
  <c r="AA28" i="33"/>
  <c r="AA27" i="33"/>
  <c r="AA36" i="33"/>
  <c r="AA35" i="33"/>
  <c r="AA42" i="33"/>
  <c r="AA41" i="33"/>
  <c r="AA44" i="33"/>
  <c r="AA43" i="33"/>
  <c r="AA7" i="32"/>
  <c r="AA15" i="32"/>
  <c r="AA14" i="32"/>
  <c r="AA17" i="32"/>
  <c r="AA24" i="32"/>
  <c r="AA23" i="32"/>
  <c r="AA26" i="32"/>
  <c r="AA34" i="32"/>
  <c r="AA33" i="32"/>
  <c r="AA36" i="32"/>
  <c r="AA43" i="32"/>
  <c r="AA42" i="32"/>
  <c r="AA10" i="31"/>
  <c r="AA9" i="31"/>
  <c r="AA14" i="31"/>
  <c r="AA15" i="31"/>
  <c r="AA17" i="31"/>
  <c r="AA19" i="31"/>
  <c r="AA18" i="31"/>
  <c r="AA24" i="31"/>
  <c r="AA23" i="31"/>
  <c r="AA26" i="31"/>
  <c r="AA25" i="31"/>
  <c r="AA28" i="31"/>
  <c r="AA32" i="31"/>
  <c r="AA34" i="31"/>
  <c r="AA33" i="31"/>
  <c r="AA37" i="31"/>
  <c r="AA36" i="31"/>
  <c r="AA41" i="31"/>
  <c r="AA43" i="31"/>
  <c r="AA42" i="31"/>
  <c r="C4" i="31"/>
  <c r="C4" i="40"/>
  <c r="C4" i="39"/>
  <c r="C4" i="38"/>
  <c r="C4" i="37"/>
  <c r="C4" i="36"/>
  <c r="C4" i="35"/>
  <c r="AK30" i="16"/>
  <c r="AK31" i="16"/>
  <c r="AK32" i="16"/>
  <c r="AK33" i="16"/>
  <c r="AK34" i="16"/>
  <c r="AK35" i="16"/>
  <c r="AK36" i="16"/>
  <c r="AK37" i="16"/>
  <c r="AK38" i="16"/>
  <c r="AK39" i="16"/>
  <c r="AK40" i="16"/>
  <c r="G13" i="31"/>
  <c r="F13" i="31"/>
  <c r="G22" i="31"/>
  <c r="F22" i="31"/>
  <c r="G31" i="31"/>
  <c r="F31" i="31"/>
  <c r="G40" i="31"/>
  <c r="F40" i="31"/>
  <c r="G49" i="31"/>
  <c r="F49" i="31"/>
  <c r="BG31" i="16"/>
  <c r="BF31" i="16"/>
  <c r="BE31" i="16"/>
  <c r="BD31" i="16"/>
  <c r="BC31" i="16"/>
  <c r="BB31" i="16"/>
  <c r="D16" i="16"/>
  <c r="D15" i="16"/>
  <c r="P4" i="39"/>
  <c r="Q4" i="39"/>
  <c r="D5" i="39"/>
  <c r="P5" i="39"/>
  <c r="Q5" i="39"/>
  <c r="D6" i="39"/>
  <c r="P6" i="39"/>
  <c r="Q6" i="39"/>
  <c r="D7" i="39"/>
  <c r="P7" i="39"/>
  <c r="Q7" i="39"/>
  <c r="D8" i="39"/>
  <c r="P8" i="39"/>
  <c r="Q8" i="39"/>
  <c r="D9" i="39"/>
  <c r="P9" i="39"/>
  <c r="Q9" i="39"/>
  <c r="D10" i="39"/>
  <c r="P10" i="39"/>
  <c r="Q10" i="39"/>
  <c r="D11" i="39"/>
  <c r="P11" i="39"/>
  <c r="Q11" i="39"/>
  <c r="W11" i="39"/>
  <c r="D12" i="39"/>
  <c r="D13" i="39"/>
  <c r="G13" i="39"/>
  <c r="F13" i="39"/>
  <c r="D14" i="39"/>
  <c r="P14" i="39"/>
  <c r="Q14" i="39"/>
  <c r="W14" i="39"/>
  <c r="D15" i="39"/>
  <c r="P15" i="39"/>
  <c r="Q15" i="39"/>
  <c r="D16" i="39"/>
  <c r="P16" i="39"/>
  <c r="Q16" i="39"/>
  <c r="W16" i="39"/>
  <c r="D17" i="39"/>
  <c r="P17" i="39"/>
  <c r="Q17" i="39"/>
  <c r="D18" i="39"/>
  <c r="P18" i="39"/>
  <c r="Q18" i="39"/>
  <c r="D19" i="39"/>
  <c r="P19" i="39"/>
  <c r="Q19" i="39"/>
  <c r="D20" i="39"/>
  <c r="P20" i="39"/>
  <c r="Q20" i="39"/>
  <c r="D21" i="39"/>
  <c r="D22" i="39"/>
  <c r="G22" i="39"/>
  <c r="F22" i="39"/>
  <c r="D23" i="39"/>
  <c r="P23" i="39"/>
  <c r="Q23" i="39"/>
  <c r="D24" i="39"/>
  <c r="P24" i="39"/>
  <c r="Q24" i="39"/>
  <c r="D25" i="39"/>
  <c r="P25" i="39"/>
  <c r="Q25" i="39"/>
  <c r="D26" i="39"/>
  <c r="P26" i="39"/>
  <c r="Q26" i="39"/>
  <c r="D27" i="39"/>
  <c r="P27" i="39"/>
  <c r="Q27" i="39"/>
  <c r="D28" i="39"/>
  <c r="P28" i="39"/>
  <c r="Q28" i="39"/>
  <c r="D29" i="39"/>
  <c r="P29" i="39"/>
  <c r="Q29" i="39"/>
  <c r="D30" i="39"/>
  <c r="D31" i="39"/>
  <c r="G31" i="39"/>
  <c r="F31" i="39"/>
  <c r="D32" i="39"/>
  <c r="P32" i="39"/>
  <c r="Q32" i="39"/>
  <c r="D33" i="39"/>
  <c r="P33" i="39"/>
  <c r="Q33" i="39"/>
  <c r="D34" i="39"/>
  <c r="P34" i="39"/>
  <c r="Q34" i="39"/>
  <c r="D35" i="39"/>
  <c r="P35" i="39"/>
  <c r="Q35" i="39"/>
  <c r="D36" i="39"/>
  <c r="P36" i="39"/>
  <c r="Q36" i="39"/>
  <c r="D37" i="39"/>
  <c r="P37" i="39"/>
  <c r="Q37" i="39"/>
  <c r="D38" i="39"/>
  <c r="D39" i="39"/>
  <c r="D40" i="39"/>
  <c r="G40" i="39"/>
  <c r="F40" i="39"/>
  <c r="D41" i="39"/>
  <c r="P41" i="39"/>
  <c r="Q41" i="39"/>
  <c r="D42" i="39"/>
  <c r="P42" i="39"/>
  <c r="Q42" i="39"/>
  <c r="D43" i="39"/>
  <c r="P43" i="39"/>
  <c r="Q43" i="39"/>
  <c r="D44" i="39"/>
  <c r="P44" i="39"/>
  <c r="Q44" i="39"/>
  <c r="D45" i="39"/>
  <c r="P45" i="39"/>
  <c r="Q45" i="39"/>
  <c r="D46" i="39"/>
  <c r="P46" i="39"/>
  <c r="Q46" i="39"/>
  <c r="D47" i="39"/>
  <c r="P47" i="39"/>
  <c r="Q47" i="39"/>
  <c r="D48" i="39"/>
  <c r="D49" i="39"/>
  <c r="G49" i="39"/>
  <c r="F49" i="39"/>
  <c r="D50" i="39"/>
  <c r="P50" i="39"/>
  <c r="Q50" i="39"/>
  <c r="D51" i="39"/>
  <c r="P51" i="39"/>
  <c r="Q51" i="39"/>
  <c r="G53" i="39"/>
  <c r="F53" i="39"/>
  <c r="P53" i="39"/>
  <c r="Q53" i="39"/>
  <c r="R53" i="39"/>
  <c r="S53" i="39"/>
  <c r="T53" i="39"/>
  <c r="U53" i="39"/>
  <c r="V53" i="39"/>
  <c r="P54" i="39"/>
  <c r="Q54" i="39"/>
  <c r="R54" i="39"/>
  <c r="S54" i="39"/>
  <c r="T54" i="39"/>
  <c r="U54" i="39"/>
  <c r="V54" i="39"/>
  <c r="P55" i="39"/>
  <c r="Q55" i="39"/>
  <c r="R55" i="39"/>
  <c r="S55" i="39"/>
  <c r="T55" i="39"/>
  <c r="U55" i="39"/>
  <c r="V55" i="39"/>
  <c r="G56" i="39"/>
  <c r="F56" i="39"/>
  <c r="H56" i="38"/>
  <c r="P4" i="38"/>
  <c r="Q4" i="38"/>
  <c r="D5" i="38"/>
  <c r="P5" i="38"/>
  <c r="Q5" i="38"/>
  <c r="D6" i="38"/>
  <c r="P6" i="38"/>
  <c r="Q6" i="38"/>
  <c r="D7" i="38"/>
  <c r="P7" i="38"/>
  <c r="Q7" i="38"/>
  <c r="D8" i="38"/>
  <c r="P8" i="38"/>
  <c r="Q8" i="38"/>
  <c r="D9" i="38"/>
  <c r="P9" i="38"/>
  <c r="Q9" i="38"/>
  <c r="D10" i="38"/>
  <c r="P10" i="38"/>
  <c r="Q10" i="38"/>
  <c r="D11" i="38"/>
  <c r="P11" i="38"/>
  <c r="Q11" i="38"/>
  <c r="D12" i="38"/>
  <c r="D13" i="38"/>
  <c r="G13" i="38"/>
  <c r="F13" i="38"/>
  <c r="D14" i="38"/>
  <c r="P14" i="38"/>
  <c r="Q14" i="38"/>
  <c r="D15" i="38"/>
  <c r="P15" i="38"/>
  <c r="Q15" i="38"/>
  <c r="D16" i="38"/>
  <c r="P16" i="38"/>
  <c r="Q16" i="38"/>
  <c r="D17" i="38"/>
  <c r="P17" i="38"/>
  <c r="Q17" i="38"/>
  <c r="D18" i="38"/>
  <c r="P18" i="38"/>
  <c r="Q18" i="38"/>
  <c r="D19" i="38"/>
  <c r="P19" i="38"/>
  <c r="Q19" i="38"/>
  <c r="D20" i="38"/>
  <c r="P20" i="38"/>
  <c r="Q20" i="38"/>
  <c r="D21" i="38"/>
  <c r="D22" i="38"/>
  <c r="G22" i="38"/>
  <c r="F22" i="38"/>
  <c r="D23" i="38"/>
  <c r="P23" i="38"/>
  <c r="Q23" i="38"/>
  <c r="D24" i="38"/>
  <c r="P24" i="38"/>
  <c r="Q24" i="38"/>
  <c r="D25" i="38"/>
  <c r="P25" i="38"/>
  <c r="Q25" i="38"/>
  <c r="D26" i="38"/>
  <c r="P26" i="38"/>
  <c r="Q26" i="38"/>
  <c r="D27" i="38"/>
  <c r="P27" i="38"/>
  <c r="Q27" i="38"/>
  <c r="D28" i="38"/>
  <c r="P28" i="38"/>
  <c r="Q28" i="38"/>
  <c r="D29" i="38"/>
  <c r="P29" i="38"/>
  <c r="Q29" i="38"/>
  <c r="D30" i="38"/>
  <c r="D31" i="38"/>
  <c r="G31" i="38"/>
  <c r="F31" i="38"/>
  <c r="D32" i="38"/>
  <c r="P32" i="38"/>
  <c r="Q32" i="38"/>
  <c r="D33" i="38"/>
  <c r="P33" i="38"/>
  <c r="Q33" i="38"/>
  <c r="D34" i="38"/>
  <c r="P34" i="38"/>
  <c r="Q34" i="38"/>
  <c r="D35" i="38"/>
  <c r="P35" i="38"/>
  <c r="Q35" i="38"/>
  <c r="D36" i="38"/>
  <c r="P36" i="38"/>
  <c r="Q36" i="38"/>
  <c r="D37" i="38"/>
  <c r="P37" i="38"/>
  <c r="Q37" i="38"/>
  <c r="D38" i="38"/>
  <c r="P38" i="38"/>
  <c r="Q38" i="38"/>
  <c r="D39" i="38"/>
  <c r="D40" i="38"/>
  <c r="G40" i="38"/>
  <c r="F40" i="38"/>
  <c r="D41" i="38"/>
  <c r="P41" i="38"/>
  <c r="Q41" i="38"/>
  <c r="D42" i="38"/>
  <c r="P42" i="38"/>
  <c r="Q42" i="38"/>
  <c r="D43" i="38"/>
  <c r="P43" i="38"/>
  <c r="Q43" i="38"/>
  <c r="D44" i="38"/>
  <c r="P44" i="38"/>
  <c r="Q44" i="38"/>
  <c r="D45" i="38"/>
  <c r="P45" i="38"/>
  <c r="Q45" i="38"/>
  <c r="D46" i="38"/>
  <c r="P46" i="38"/>
  <c r="Q46" i="38"/>
  <c r="D47" i="38"/>
  <c r="P47" i="38"/>
  <c r="Q47" i="38"/>
  <c r="D48" i="38"/>
  <c r="D49" i="38"/>
  <c r="G49" i="38"/>
  <c r="F49" i="38"/>
  <c r="D50" i="38"/>
  <c r="P50" i="38"/>
  <c r="Q50" i="38"/>
  <c r="D51" i="38"/>
  <c r="P51" i="38"/>
  <c r="Q51" i="38"/>
  <c r="G52" i="38"/>
  <c r="F52" i="38"/>
  <c r="G53" i="38"/>
  <c r="F53" i="38"/>
  <c r="P53" i="38"/>
  <c r="Q53" i="38"/>
  <c r="R53" i="38"/>
  <c r="S53" i="38"/>
  <c r="T53" i="38"/>
  <c r="U53" i="38"/>
  <c r="V53" i="38"/>
  <c r="P54" i="38"/>
  <c r="Q54" i="38"/>
  <c r="R54" i="38"/>
  <c r="S54" i="38"/>
  <c r="T54" i="38"/>
  <c r="U54" i="38"/>
  <c r="V54" i="38"/>
  <c r="P55" i="38"/>
  <c r="Q55" i="38"/>
  <c r="R55" i="38"/>
  <c r="S55" i="38"/>
  <c r="T55" i="38"/>
  <c r="U55" i="38"/>
  <c r="V55" i="38"/>
  <c r="G56" i="38"/>
  <c r="F56" i="38"/>
  <c r="L58" i="41"/>
  <c r="N59" i="41"/>
  <c r="M59" i="41"/>
  <c r="K59" i="41"/>
  <c r="K29" i="16"/>
  <c r="K30" i="16"/>
  <c r="K31" i="16"/>
  <c r="K32" i="16"/>
  <c r="K33" i="16"/>
  <c r="K34" i="16"/>
  <c r="K35" i="16"/>
  <c r="K36" i="16"/>
  <c r="K37" i="16"/>
  <c r="K38" i="16"/>
  <c r="K39" i="16"/>
  <c r="K40" i="16"/>
  <c r="H59" i="41"/>
  <c r="G59" i="41"/>
  <c r="F59" i="41"/>
  <c r="A59" i="41"/>
  <c r="N53" i="41"/>
  <c r="N54" i="41"/>
  <c r="N55" i="41"/>
  <c r="N56" i="41"/>
  <c r="N57" i="41"/>
  <c r="N58" i="41"/>
  <c r="M58" i="41"/>
  <c r="H58" i="41"/>
  <c r="G58" i="41"/>
  <c r="F58" i="41"/>
  <c r="A58" i="41"/>
  <c r="G55" i="41"/>
  <c r="F55" i="41"/>
  <c r="N52" i="41"/>
  <c r="H3" i="41"/>
  <c r="E3" i="41"/>
  <c r="E1" i="41"/>
  <c r="L58" i="40"/>
  <c r="V58" i="40"/>
  <c r="V59" i="40"/>
  <c r="U58" i="40"/>
  <c r="U59" i="40"/>
  <c r="T58" i="40"/>
  <c r="T59" i="40"/>
  <c r="S58" i="40"/>
  <c r="S59" i="40"/>
  <c r="R58" i="40"/>
  <c r="R59" i="40"/>
  <c r="Q58" i="40"/>
  <c r="Q59" i="40"/>
  <c r="P58" i="40"/>
  <c r="P59" i="40"/>
  <c r="N59" i="40"/>
  <c r="M59" i="40"/>
  <c r="K59" i="40"/>
  <c r="H59" i="40"/>
  <c r="G59" i="40"/>
  <c r="F59" i="40"/>
  <c r="A59" i="40"/>
  <c r="N53" i="40"/>
  <c r="N54" i="40"/>
  <c r="N55" i="40"/>
  <c r="N56" i="40"/>
  <c r="N57" i="40"/>
  <c r="N58" i="40"/>
  <c r="M58" i="40"/>
  <c r="H58" i="40"/>
  <c r="G58" i="40"/>
  <c r="F58" i="40"/>
  <c r="A58" i="40"/>
  <c r="H56" i="40"/>
  <c r="G56" i="40"/>
  <c r="F56" i="40"/>
  <c r="V55" i="40"/>
  <c r="U55" i="40"/>
  <c r="T55" i="40"/>
  <c r="S55" i="40"/>
  <c r="R55" i="40"/>
  <c r="Q55" i="40"/>
  <c r="P55" i="40"/>
  <c r="G55" i="40"/>
  <c r="F55" i="40"/>
  <c r="D5" i="40"/>
  <c r="D6" i="40"/>
  <c r="D7" i="40"/>
  <c r="D8" i="40"/>
  <c r="D9" i="40"/>
  <c r="D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V54" i="40"/>
  <c r="U54" i="40"/>
  <c r="T54" i="40"/>
  <c r="S54" i="40"/>
  <c r="R54" i="40"/>
  <c r="Q54" i="40"/>
  <c r="P54" i="40"/>
  <c r="V53" i="40"/>
  <c r="U53" i="40"/>
  <c r="T53" i="40"/>
  <c r="S53" i="40"/>
  <c r="R53" i="40"/>
  <c r="Q53" i="40"/>
  <c r="P53" i="40"/>
  <c r="G53" i="40"/>
  <c r="F53" i="40"/>
  <c r="N52" i="40"/>
  <c r="AB5" i="40"/>
  <c r="AB6" i="40"/>
  <c r="AB7" i="40"/>
  <c r="AB8" i="40"/>
  <c r="AB9" i="40"/>
  <c r="AB10" i="40"/>
  <c r="AB11" i="40"/>
  <c r="AB12" i="40"/>
  <c r="AB13" i="40"/>
  <c r="AB14" i="40"/>
  <c r="AB15" i="40"/>
  <c r="AB16" i="40"/>
  <c r="AB17" i="40"/>
  <c r="AB18" i="40"/>
  <c r="AB19" i="40"/>
  <c r="AB20" i="40"/>
  <c r="AB21" i="40"/>
  <c r="AB22" i="40"/>
  <c r="AB23" i="40"/>
  <c r="AB24" i="40"/>
  <c r="AB25" i="40"/>
  <c r="AB26" i="40"/>
  <c r="AB27" i="40"/>
  <c r="AB28" i="40"/>
  <c r="AB29" i="40"/>
  <c r="AB30" i="40"/>
  <c r="AB31" i="40"/>
  <c r="AB32" i="40"/>
  <c r="AB33" i="40"/>
  <c r="AB34" i="40"/>
  <c r="AB35" i="40"/>
  <c r="AB36" i="40"/>
  <c r="AB37" i="40"/>
  <c r="AB38" i="40"/>
  <c r="AB39" i="40"/>
  <c r="AB40" i="40"/>
  <c r="AB41" i="40"/>
  <c r="AB42" i="40"/>
  <c r="AB43" i="40"/>
  <c r="AB44" i="40"/>
  <c r="AB45" i="40"/>
  <c r="AB46" i="40"/>
  <c r="AB47" i="40"/>
  <c r="AB48" i="40"/>
  <c r="AB49" i="40"/>
  <c r="AB50" i="40"/>
  <c r="AB51" i="40"/>
  <c r="W51" i="40"/>
  <c r="P51" i="40"/>
  <c r="Q51" i="40"/>
  <c r="AA50" i="40"/>
  <c r="W50" i="40"/>
  <c r="P50" i="40"/>
  <c r="Q50" i="40"/>
  <c r="Z49" i="40"/>
  <c r="Y49" i="40"/>
  <c r="Q49" i="40"/>
  <c r="O49" i="40"/>
  <c r="G49" i="40"/>
  <c r="F49" i="40"/>
  <c r="Z48" i="40"/>
  <c r="Y48" i="40"/>
  <c r="Q48" i="40"/>
  <c r="O48" i="40"/>
  <c r="W47" i="40"/>
  <c r="P47" i="40"/>
  <c r="Q47" i="40"/>
  <c r="AA46" i="40"/>
  <c r="W46" i="40"/>
  <c r="P46" i="40"/>
  <c r="Q46" i="40"/>
  <c r="AA45" i="40"/>
  <c r="W45" i="40"/>
  <c r="P45" i="40"/>
  <c r="Q45" i="40"/>
  <c r="W44" i="40"/>
  <c r="P44" i="40"/>
  <c r="Q44" i="40"/>
  <c r="W43" i="40"/>
  <c r="P43" i="40"/>
  <c r="Q43" i="40"/>
  <c r="W42" i="40"/>
  <c r="P42" i="40"/>
  <c r="Q42" i="40"/>
  <c r="AA41" i="40"/>
  <c r="W41" i="40"/>
  <c r="P41" i="40"/>
  <c r="Q41" i="40"/>
  <c r="AA40" i="40"/>
  <c r="Q40" i="40"/>
  <c r="O40" i="40"/>
  <c r="G40" i="40"/>
  <c r="F40" i="40"/>
  <c r="AA39" i="40"/>
  <c r="Q39" i="40"/>
  <c r="O39" i="40"/>
  <c r="W38" i="40"/>
  <c r="P38" i="40"/>
  <c r="Q38" i="40"/>
  <c r="AA37" i="40"/>
  <c r="W37" i="40"/>
  <c r="P37" i="40"/>
  <c r="Q37" i="40"/>
  <c r="W36" i="40"/>
  <c r="P36" i="40"/>
  <c r="Q36" i="40"/>
  <c r="AA35" i="40"/>
  <c r="W35" i="40"/>
  <c r="P35" i="40"/>
  <c r="Q35" i="40"/>
  <c r="W34" i="40"/>
  <c r="P34" i="40"/>
  <c r="Q34" i="40"/>
  <c r="AA33" i="40"/>
  <c r="W33" i="40"/>
  <c r="P33" i="40"/>
  <c r="Q33" i="40"/>
  <c r="AA32" i="40"/>
  <c r="W32" i="40"/>
  <c r="P32" i="40"/>
  <c r="Q32" i="40"/>
  <c r="AA31" i="40"/>
  <c r="Q31" i="40"/>
  <c r="O31" i="40"/>
  <c r="G31" i="40"/>
  <c r="F31" i="40"/>
  <c r="AA30" i="40"/>
  <c r="Q30" i="40"/>
  <c r="O30" i="40"/>
  <c r="W29" i="40"/>
  <c r="P29" i="40"/>
  <c r="Q29" i="40"/>
  <c r="W28" i="40"/>
  <c r="P28" i="40"/>
  <c r="Q28" i="40"/>
  <c r="W27" i="40"/>
  <c r="P27" i="40"/>
  <c r="Q27" i="40"/>
  <c r="W26" i="40"/>
  <c r="P26" i="40"/>
  <c r="Q26" i="40"/>
  <c r="AA25" i="40"/>
  <c r="W25" i="40"/>
  <c r="P25" i="40"/>
  <c r="Q25" i="40"/>
  <c r="W24" i="40"/>
  <c r="P24" i="40"/>
  <c r="Q24" i="40"/>
  <c r="AA23" i="40"/>
  <c r="W23" i="40"/>
  <c r="P23" i="40"/>
  <c r="Q23" i="40"/>
  <c r="AA22" i="40"/>
  <c r="Q22" i="40"/>
  <c r="O22" i="40"/>
  <c r="G22" i="40"/>
  <c r="F22" i="40"/>
  <c r="AA21" i="40"/>
  <c r="Q21" i="40"/>
  <c r="O21" i="40"/>
  <c r="W20" i="40"/>
  <c r="P20" i="40"/>
  <c r="Q20" i="40"/>
  <c r="AA19" i="40"/>
  <c r="W19" i="40"/>
  <c r="P19" i="40"/>
  <c r="Q19" i="40"/>
  <c r="W18" i="40"/>
  <c r="P18" i="40"/>
  <c r="Q18" i="40"/>
  <c r="AA17" i="40"/>
  <c r="W17" i="40"/>
  <c r="P17" i="40"/>
  <c r="Q17" i="40"/>
  <c r="W16" i="40"/>
  <c r="P16" i="40"/>
  <c r="Q16" i="40"/>
  <c r="AA15" i="40"/>
  <c r="W15" i="40"/>
  <c r="P15" i="40"/>
  <c r="Q15" i="40"/>
  <c r="AA14" i="40"/>
  <c r="W14" i="40"/>
  <c r="P14" i="40"/>
  <c r="Q14" i="40"/>
  <c r="AA13" i="40"/>
  <c r="Q13" i="40"/>
  <c r="O13" i="40"/>
  <c r="G13" i="40"/>
  <c r="F13" i="40"/>
  <c r="AA12" i="40"/>
  <c r="Q12" i="40"/>
  <c r="O12" i="40"/>
  <c r="W11" i="40"/>
  <c r="P11" i="40"/>
  <c r="Q11" i="40"/>
  <c r="W10" i="40"/>
  <c r="P10" i="40"/>
  <c r="Q10" i="40"/>
  <c r="W9" i="40"/>
  <c r="P9" i="40"/>
  <c r="Q9" i="40"/>
  <c r="AA8" i="40"/>
  <c r="W8" i="40"/>
  <c r="P8" i="40"/>
  <c r="Q8" i="40"/>
  <c r="AA7" i="40"/>
  <c r="W7" i="40"/>
  <c r="P7" i="40"/>
  <c r="Q7" i="40"/>
  <c r="AA6" i="40"/>
  <c r="W6" i="40"/>
  <c r="P6" i="40"/>
  <c r="Q6" i="40"/>
  <c r="AA5" i="40"/>
  <c r="W5" i="40"/>
  <c r="P5" i="40"/>
  <c r="Q5" i="40"/>
  <c r="P4" i="40"/>
  <c r="Q4" i="40"/>
  <c r="H3" i="40"/>
  <c r="E3" i="40"/>
  <c r="E1" i="40"/>
  <c r="L58" i="39"/>
  <c r="V58" i="39"/>
  <c r="V59" i="39"/>
  <c r="U58" i="39"/>
  <c r="U59" i="39"/>
  <c r="T58" i="39"/>
  <c r="T59" i="39"/>
  <c r="S58" i="39"/>
  <c r="S59" i="39"/>
  <c r="R58" i="39"/>
  <c r="R59" i="39"/>
  <c r="Q58" i="39"/>
  <c r="Q59" i="39"/>
  <c r="P58" i="39"/>
  <c r="P59" i="39"/>
  <c r="N59" i="39"/>
  <c r="M59" i="39"/>
  <c r="K59" i="39"/>
  <c r="H59" i="39"/>
  <c r="G59" i="39"/>
  <c r="F59" i="39"/>
  <c r="A59" i="39"/>
  <c r="N53" i="39"/>
  <c r="N54" i="39"/>
  <c r="N55" i="39"/>
  <c r="N56" i="39"/>
  <c r="N57" i="39"/>
  <c r="N58" i="39"/>
  <c r="M58" i="39"/>
  <c r="H58" i="39"/>
  <c r="G58" i="39"/>
  <c r="F58" i="39"/>
  <c r="A58" i="39"/>
  <c r="G55" i="39"/>
  <c r="F55" i="39"/>
  <c r="N52" i="39"/>
  <c r="W51" i="39"/>
  <c r="W50" i="39"/>
  <c r="Z49" i="39"/>
  <c r="Y49" i="39"/>
  <c r="Q49" i="39"/>
  <c r="O49" i="39"/>
  <c r="Z48" i="39"/>
  <c r="Y48" i="39"/>
  <c r="Q48" i="39"/>
  <c r="O48" i="39"/>
  <c r="W47" i="39"/>
  <c r="W46" i="39"/>
  <c r="W45" i="39"/>
  <c r="W44" i="39"/>
  <c r="W43" i="39"/>
  <c r="W42" i="39"/>
  <c r="W41" i="39"/>
  <c r="Q40" i="39"/>
  <c r="O40" i="39"/>
  <c r="W37" i="39"/>
  <c r="W36" i="39"/>
  <c r="W35" i="39"/>
  <c r="W34" i="39"/>
  <c r="W33" i="39"/>
  <c r="W32" i="39"/>
  <c r="Q31" i="39"/>
  <c r="O31" i="39"/>
  <c r="Q30" i="39"/>
  <c r="O30" i="39"/>
  <c r="W29" i="39"/>
  <c r="W28" i="39"/>
  <c r="W27" i="39"/>
  <c r="W26" i="39"/>
  <c r="W25" i="39"/>
  <c r="W24" i="39"/>
  <c r="W23" i="39"/>
  <c r="Q22" i="39"/>
  <c r="O22" i="39"/>
  <c r="Q21" i="39"/>
  <c r="O21" i="39"/>
  <c r="W20" i="39"/>
  <c r="W19" i="39"/>
  <c r="W18" i="39"/>
  <c r="W17" i="39"/>
  <c r="W15" i="39"/>
  <c r="Q13" i="39"/>
  <c r="O13" i="39"/>
  <c r="Q12" i="39"/>
  <c r="O12" i="39"/>
  <c r="W10" i="39"/>
  <c r="W9" i="39"/>
  <c r="W8" i="39"/>
  <c r="W7" i="39"/>
  <c r="W6" i="39"/>
  <c r="W5" i="39"/>
  <c r="H3" i="39"/>
  <c r="E3" i="39"/>
  <c r="E1" i="39"/>
  <c r="L58" i="38"/>
  <c r="V59" i="38"/>
  <c r="U59" i="38"/>
  <c r="T59" i="38"/>
  <c r="S59" i="38"/>
  <c r="R59" i="38"/>
  <c r="Q59" i="38"/>
  <c r="P59" i="38"/>
  <c r="N59" i="38"/>
  <c r="M59" i="38"/>
  <c r="K59" i="38"/>
  <c r="H59" i="38"/>
  <c r="G59" i="38"/>
  <c r="F59" i="38"/>
  <c r="A59" i="38"/>
  <c r="N53" i="38"/>
  <c r="N54" i="38"/>
  <c r="N55" i="38"/>
  <c r="N56" i="38"/>
  <c r="N57" i="38"/>
  <c r="N58" i="38"/>
  <c r="M58" i="38"/>
  <c r="H58" i="38"/>
  <c r="G58" i="38"/>
  <c r="F58" i="38"/>
  <c r="A58" i="38"/>
  <c r="G55" i="38"/>
  <c r="F55" i="38"/>
  <c r="N52" i="38"/>
  <c r="AB5" i="38"/>
  <c r="AB6" i="38"/>
  <c r="AB7" i="38"/>
  <c r="AB8" i="38"/>
  <c r="AB9" i="38"/>
  <c r="AB10" i="38"/>
  <c r="AB11" i="38"/>
  <c r="AB12" i="38"/>
  <c r="AB13" i="38"/>
  <c r="AB14" i="38"/>
  <c r="AB15" i="38"/>
  <c r="AB16" i="38"/>
  <c r="AB17" i="38"/>
  <c r="AB18" i="38"/>
  <c r="AB19" i="38"/>
  <c r="AB20" i="38"/>
  <c r="AB21" i="38"/>
  <c r="AB22" i="38"/>
  <c r="AB23" i="38"/>
  <c r="AB24" i="38"/>
  <c r="AB25" i="38"/>
  <c r="AB26" i="38"/>
  <c r="AB27" i="38"/>
  <c r="AB28" i="38"/>
  <c r="AB29" i="38"/>
  <c r="AB30" i="38"/>
  <c r="AB31" i="38"/>
  <c r="AB32" i="38"/>
  <c r="AB33" i="38"/>
  <c r="AB34" i="38"/>
  <c r="AB35" i="38"/>
  <c r="AB36" i="38"/>
  <c r="AB37" i="38"/>
  <c r="AB38" i="38"/>
  <c r="AB39" i="38"/>
  <c r="AB40" i="38"/>
  <c r="AB41" i="38"/>
  <c r="AB42" i="38"/>
  <c r="AB43" i="38"/>
  <c r="AB44" i="38"/>
  <c r="AB45" i="38"/>
  <c r="AB46" i="38"/>
  <c r="AB47" i="38"/>
  <c r="AB48" i="38"/>
  <c r="AB49" i="38"/>
  <c r="AB50" i="38"/>
  <c r="AB51" i="38"/>
  <c r="W51" i="38"/>
  <c r="W50" i="38"/>
  <c r="Z49" i="38"/>
  <c r="Y49" i="38"/>
  <c r="Q49" i="38"/>
  <c r="O49" i="38"/>
  <c r="Z48" i="38"/>
  <c r="Y48" i="38"/>
  <c r="Q48" i="38"/>
  <c r="O48" i="38"/>
  <c r="W47" i="38"/>
  <c r="AA46" i="38"/>
  <c r="W46" i="38"/>
  <c r="AA45" i="38"/>
  <c r="W45" i="38"/>
  <c r="AA44" i="38"/>
  <c r="W44" i="38"/>
  <c r="W43" i="38"/>
  <c r="W42" i="38"/>
  <c r="W41" i="38"/>
  <c r="AA40" i="38"/>
  <c r="Q40" i="38"/>
  <c r="O40" i="38"/>
  <c r="AA39" i="38"/>
  <c r="Q39" i="38"/>
  <c r="O39" i="38"/>
  <c r="W38" i="38"/>
  <c r="W37" i="38"/>
  <c r="AA36" i="38"/>
  <c r="W36" i="38"/>
  <c r="AA35" i="38"/>
  <c r="W35" i="38"/>
  <c r="W34" i="38"/>
  <c r="AA33" i="38"/>
  <c r="W33" i="38"/>
  <c r="W32" i="38"/>
  <c r="AA31" i="38"/>
  <c r="Q31" i="38"/>
  <c r="O31" i="38"/>
  <c r="AA30" i="38"/>
  <c r="Q30" i="38"/>
  <c r="O30" i="38"/>
  <c r="W29" i="38"/>
  <c r="AA28" i="38"/>
  <c r="W28" i="38"/>
  <c r="AA27" i="38"/>
  <c r="W27" i="38"/>
  <c r="AA26" i="38"/>
  <c r="W26" i="38"/>
  <c r="AA25" i="38"/>
  <c r="W25" i="38"/>
  <c r="AA24" i="38"/>
  <c r="W24" i="38"/>
  <c r="AA23" i="38"/>
  <c r="W23" i="38"/>
  <c r="AA22" i="38"/>
  <c r="Q22" i="38"/>
  <c r="O22" i="38"/>
  <c r="AA21" i="38"/>
  <c r="Q21" i="38"/>
  <c r="O21" i="38"/>
  <c r="W20" i="38"/>
  <c r="AA19" i="38"/>
  <c r="W19" i="38"/>
  <c r="W18" i="38"/>
  <c r="W17" i="38"/>
  <c r="AA16" i="38"/>
  <c r="W16" i="38"/>
  <c r="AA15" i="38"/>
  <c r="W15" i="38"/>
  <c r="AA14" i="38"/>
  <c r="W14" i="38"/>
  <c r="AA13" i="38"/>
  <c r="Q13" i="38"/>
  <c r="O13" i="38"/>
  <c r="AA12" i="38"/>
  <c r="Q12" i="38"/>
  <c r="O12" i="38"/>
  <c r="W11" i="38"/>
  <c r="AA10" i="38"/>
  <c r="W10" i="38"/>
  <c r="W9" i="38"/>
  <c r="AA8" i="38"/>
  <c r="W8" i="38"/>
  <c r="AA7" i="38"/>
  <c r="W7" i="38"/>
  <c r="AA6" i="38"/>
  <c r="W6" i="38"/>
  <c r="AA5" i="38"/>
  <c r="W5" i="38"/>
  <c r="H3" i="38"/>
  <c r="E3" i="38"/>
  <c r="E1" i="38"/>
  <c r="L58" i="37"/>
  <c r="V58" i="37"/>
  <c r="V59" i="37"/>
  <c r="U58" i="37"/>
  <c r="U59" i="37"/>
  <c r="T58" i="37"/>
  <c r="T59" i="37"/>
  <c r="S58" i="37"/>
  <c r="S59" i="37"/>
  <c r="R58" i="37"/>
  <c r="R59" i="37"/>
  <c r="Q58" i="37"/>
  <c r="Q59" i="37"/>
  <c r="P58" i="37"/>
  <c r="P59" i="37"/>
  <c r="N59" i="37"/>
  <c r="M59" i="37"/>
  <c r="K59" i="37"/>
  <c r="H59" i="37"/>
  <c r="G59" i="37"/>
  <c r="F59" i="37"/>
  <c r="A59" i="37"/>
  <c r="N53" i="37"/>
  <c r="N54" i="37"/>
  <c r="N55" i="37"/>
  <c r="N56" i="37"/>
  <c r="N57" i="37"/>
  <c r="N58" i="37"/>
  <c r="M58" i="37"/>
  <c r="H58" i="37"/>
  <c r="G58" i="37"/>
  <c r="F58" i="37"/>
  <c r="A58" i="37"/>
  <c r="H56" i="37"/>
  <c r="G56" i="37"/>
  <c r="F56" i="37"/>
  <c r="V55" i="37"/>
  <c r="U55" i="37"/>
  <c r="T55" i="37"/>
  <c r="S55" i="37"/>
  <c r="R55" i="37"/>
  <c r="Q55" i="37"/>
  <c r="P55" i="37"/>
  <c r="G55" i="37"/>
  <c r="F55" i="37"/>
  <c r="D5" i="37"/>
  <c r="D6" i="37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V54" i="37"/>
  <c r="U54" i="37"/>
  <c r="T54" i="37"/>
  <c r="S54" i="37"/>
  <c r="R54" i="37"/>
  <c r="Q54" i="37"/>
  <c r="P54" i="37"/>
  <c r="V53" i="37"/>
  <c r="U53" i="37"/>
  <c r="T53" i="37"/>
  <c r="S53" i="37"/>
  <c r="R53" i="37"/>
  <c r="Q53" i="37"/>
  <c r="P53" i="37"/>
  <c r="G53" i="37"/>
  <c r="F53" i="37"/>
  <c r="N52" i="37"/>
  <c r="AB5" i="37"/>
  <c r="AB6" i="37"/>
  <c r="AB7" i="37"/>
  <c r="AB8" i="37"/>
  <c r="AB9" i="37"/>
  <c r="AB10" i="37"/>
  <c r="AB11" i="37"/>
  <c r="AB12" i="37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AB28" i="37"/>
  <c r="AB29" i="37"/>
  <c r="AB30" i="37"/>
  <c r="AB31" i="37"/>
  <c r="AB32" i="37"/>
  <c r="AB33" i="37"/>
  <c r="AB34" i="37"/>
  <c r="AB35" i="37"/>
  <c r="AB36" i="37"/>
  <c r="AB37" i="37"/>
  <c r="AB38" i="37"/>
  <c r="AB39" i="37"/>
  <c r="AB40" i="37"/>
  <c r="AB41" i="37"/>
  <c r="AB42" i="37"/>
  <c r="AB43" i="37"/>
  <c r="AB44" i="37"/>
  <c r="AB45" i="37"/>
  <c r="AB46" i="37"/>
  <c r="AB47" i="37"/>
  <c r="AB48" i="37"/>
  <c r="AB49" i="37"/>
  <c r="AB50" i="37"/>
  <c r="AB51" i="37"/>
  <c r="W51" i="37"/>
  <c r="P51" i="37"/>
  <c r="Q51" i="37"/>
  <c r="AA50" i="37"/>
  <c r="W50" i="37"/>
  <c r="P50" i="37"/>
  <c r="Q50" i="37"/>
  <c r="Z49" i="37"/>
  <c r="Y49" i="37"/>
  <c r="Q49" i="37"/>
  <c r="O49" i="37"/>
  <c r="G49" i="37"/>
  <c r="F49" i="37"/>
  <c r="Z48" i="37"/>
  <c r="Y48" i="37"/>
  <c r="Q48" i="37"/>
  <c r="O48" i="37"/>
  <c r="W47" i="37"/>
  <c r="P47" i="37"/>
  <c r="Q47" i="37"/>
  <c r="AA46" i="37"/>
  <c r="W46" i="37"/>
  <c r="P46" i="37"/>
  <c r="Q46" i="37"/>
  <c r="AA45" i="37"/>
  <c r="W45" i="37"/>
  <c r="P45" i="37"/>
  <c r="Q45" i="37"/>
  <c r="AA44" i="37"/>
  <c r="W44" i="37"/>
  <c r="P44" i="37"/>
  <c r="Q44" i="37"/>
  <c r="W43" i="37"/>
  <c r="P43" i="37"/>
  <c r="Q43" i="37"/>
  <c r="AA42" i="37"/>
  <c r="W42" i="37"/>
  <c r="P42" i="37"/>
  <c r="Q42" i="37"/>
  <c r="AA41" i="37"/>
  <c r="W41" i="37"/>
  <c r="P41" i="37"/>
  <c r="Q41" i="37"/>
  <c r="AA40" i="37"/>
  <c r="Q40" i="37"/>
  <c r="O40" i="37"/>
  <c r="G40" i="37"/>
  <c r="F40" i="37"/>
  <c r="AA39" i="37"/>
  <c r="Q39" i="37"/>
  <c r="O39" i="37"/>
  <c r="W38" i="37"/>
  <c r="P38" i="37"/>
  <c r="Q38" i="37"/>
  <c r="AA37" i="37"/>
  <c r="W37" i="37"/>
  <c r="P37" i="37"/>
  <c r="Q37" i="37"/>
  <c r="W36" i="37"/>
  <c r="P36" i="37"/>
  <c r="Q36" i="37"/>
  <c r="AA35" i="37"/>
  <c r="W35" i="37"/>
  <c r="P35" i="37"/>
  <c r="Q35" i="37"/>
  <c r="W34" i="37"/>
  <c r="P34" i="37"/>
  <c r="Q34" i="37"/>
  <c r="AA33" i="37"/>
  <c r="W33" i="37"/>
  <c r="P33" i="37"/>
  <c r="Q33" i="37"/>
  <c r="W32" i="37"/>
  <c r="P32" i="37"/>
  <c r="Q32" i="37"/>
  <c r="AA31" i="37"/>
  <c r="Q31" i="37"/>
  <c r="O31" i="37"/>
  <c r="G31" i="37"/>
  <c r="F31" i="37"/>
  <c r="AA30" i="37"/>
  <c r="Q30" i="37"/>
  <c r="O30" i="37"/>
  <c r="W29" i="37"/>
  <c r="P29" i="37"/>
  <c r="Q29" i="37"/>
  <c r="AA28" i="37"/>
  <c r="W28" i="37"/>
  <c r="P28" i="37"/>
  <c r="Q28" i="37"/>
  <c r="W27" i="37"/>
  <c r="P27" i="37"/>
  <c r="Q27" i="37"/>
  <c r="W26" i="37"/>
  <c r="P26" i="37"/>
  <c r="Q26" i="37"/>
  <c r="AA25" i="37"/>
  <c r="W25" i="37"/>
  <c r="P25" i="37"/>
  <c r="Q25" i="37"/>
  <c r="AA24" i="37"/>
  <c r="W24" i="37"/>
  <c r="P24" i="37"/>
  <c r="Q24" i="37"/>
  <c r="W23" i="37"/>
  <c r="P23" i="37"/>
  <c r="Q23" i="37"/>
  <c r="AA22" i="37"/>
  <c r="Q22" i="37"/>
  <c r="O22" i="37"/>
  <c r="G22" i="37"/>
  <c r="F22" i="37"/>
  <c r="AA21" i="37"/>
  <c r="Q21" i="37"/>
  <c r="O21" i="37"/>
  <c r="W20" i="37"/>
  <c r="P20" i="37"/>
  <c r="Q20" i="37"/>
  <c r="AA19" i="37"/>
  <c r="W19" i="37"/>
  <c r="P19" i="37"/>
  <c r="Q19" i="37"/>
  <c r="AA18" i="37"/>
  <c r="W18" i="37"/>
  <c r="P18" i="37"/>
  <c r="Q18" i="37"/>
  <c r="AA17" i="37"/>
  <c r="W17" i="37"/>
  <c r="P17" i="37"/>
  <c r="Q17" i="37"/>
  <c r="AA16" i="37"/>
  <c r="W16" i="37"/>
  <c r="P16" i="37"/>
  <c r="Q16" i="37"/>
  <c r="AA15" i="37"/>
  <c r="W15" i="37"/>
  <c r="P15" i="37"/>
  <c r="Q15" i="37"/>
  <c r="AA14" i="37"/>
  <c r="W14" i="37"/>
  <c r="P14" i="37"/>
  <c r="Q14" i="37"/>
  <c r="AA13" i="37"/>
  <c r="Q13" i="37"/>
  <c r="O13" i="37"/>
  <c r="G13" i="37"/>
  <c r="F13" i="37"/>
  <c r="AA12" i="37"/>
  <c r="Q12" i="37"/>
  <c r="O12" i="37"/>
  <c r="W11" i="37"/>
  <c r="P11" i="37"/>
  <c r="Q11" i="37"/>
  <c r="AA10" i="37"/>
  <c r="W10" i="37"/>
  <c r="P10" i="37"/>
  <c r="Q10" i="37"/>
  <c r="W9" i="37"/>
  <c r="P9" i="37"/>
  <c r="Q9" i="37"/>
  <c r="W8" i="37"/>
  <c r="P8" i="37"/>
  <c r="Q8" i="37"/>
  <c r="W7" i="37"/>
  <c r="P7" i="37"/>
  <c r="Q7" i="37"/>
  <c r="AA6" i="37"/>
  <c r="W6" i="37"/>
  <c r="P6" i="37"/>
  <c r="Q6" i="37"/>
  <c r="AA5" i="37"/>
  <c r="W5" i="37"/>
  <c r="P5" i="37"/>
  <c r="Q5" i="37"/>
  <c r="P4" i="37"/>
  <c r="Q4" i="37"/>
  <c r="H3" i="37"/>
  <c r="E3" i="37"/>
  <c r="E1" i="37"/>
  <c r="L58" i="36"/>
  <c r="AR40" i="16"/>
  <c r="AR39" i="16"/>
  <c r="AR38" i="16"/>
  <c r="AR37" i="16"/>
  <c r="AR36" i="16"/>
  <c r="AR35" i="16"/>
  <c r="V58" i="36"/>
  <c r="V59" i="36"/>
  <c r="U58" i="36"/>
  <c r="U59" i="36"/>
  <c r="T58" i="36"/>
  <c r="T59" i="36"/>
  <c r="S58" i="36"/>
  <c r="S59" i="36"/>
  <c r="R58" i="36"/>
  <c r="R59" i="36"/>
  <c r="Q58" i="36"/>
  <c r="Q59" i="36"/>
  <c r="P58" i="36"/>
  <c r="P59" i="36"/>
  <c r="N59" i="36"/>
  <c r="M59" i="36"/>
  <c r="K59" i="36"/>
  <c r="H59" i="36"/>
  <c r="G59" i="36"/>
  <c r="F59" i="36"/>
  <c r="A59" i="36"/>
  <c r="N53" i="36"/>
  <c r="N54" i="36"/>
  <c r="N55" i="36"/>
  <c r="N56" i="36"/>
  <c r="N57" i="36"/>
  <c r="N58" i="36"/>
  <c r="M58" i="36"/>
  <c r="H58" i="36"/>
  <c r="G58" i="36"/>
  <c r="F58" i="36"/>
  <c r="A58" i="36"/>
  <c r="H56" i="36"/>
  <c r="G56" i="36"/>
  <c r="F56" i="36"/>
  <c r="V55" i="36"/>
  <c r="U55" i="36"/>
  <c r="T55" i="36"/>
  <c r="S55" i="36"/>
  <c r="R55" i="36"/>
  <c r="Q55" i="36"/>
  <c r="P55" i="36"/>
  <c r="G55" i="36"/>
  <c r="F55" i="36"/>
  <c r="D5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V54" i="36"/>
  <c r="U54" i="36"/>
  <c r="T54" i="36"/>
  <c r="S54" i="36"/>
  <c r="R54" i="36"/>
  <c r="Q54" i="36"/>
  <c r="P54" i="36"/>
  <c r="V53" i="36"/>
  <c r="U53" i="36"/>
  <c r="T53" i="36"/>
  <c r="S53" i="36"/>
  <c r="R53" i="36"/>
  <c r="Q53" i="36"/>
  <c r="P53" i="36"/>
  <c r="G53" i="36"/>
  <c r="F53" i="36"/>
  <c r="N52" i="36"/>
  <c r="AB5" i="36"/>
  <c r="AB6" i="36"/>
  <c r="AB7" i="36"/>
  <c r="AB8" i="36"/>
  <c r="AB9" i="36"/>
  <c r="AB10" i="36"/>
  <c r="AB11" i="36"/>
  <c r="AB12" i="36"/>
  <c r="AB13" i="36"/>
  <c r="AB14" i="36"/>
  <c r="AB15" i="36"/>
  <c r="AB16" i="36"/>
  <c r="AB17" i="36"/>
  <c r="AB18" i="36"/>
  <c r="AB19" i="36"/>
  <c r="AB20" i="36"/>
  <c r="AB21" i="36"/>
  <c r="AB22" i="36"/>
  <c r="AB23" i="36"/>
  <c r="AB24" i="36"/>
  <c r="AB25" i="36"/>
  <c r="AB26" i="36"/>
  <c r="AB27" i="36"/>
  <c r="AB28" i="36"/>
  <c r="AB29" i="36"/>
  <c r="AB30" i="36"/>
  <c r="AB31" i="36"/>
  <c r="AB32" i="36"/>
  <c r="AB33" i="36"/>
  <c r="AB34" i="36"/>
  <c r="AB35" i="36"/>
  <c r="AB36" i="36"/>
  <c r="AB37" i="36"/>
  <c r="AB38" i="36"/>
  <c r="AB39" i="36"/>
  <c r="AB40" i="36"/>
  <c r="AB41" i="36"/>
  <c r="AB42" i="36"/>
  <c r="AB43" i="36"/>
  <c r="AB44" i="36"/>
  <c r="AB45" i="36"/>
  <c r="AB46" i="36"/>
  <c r="AB47" i="36"/>
  <c r="AB48" i="36"/>
  <c r="AB49" i="36"/>
  <c r="AB50" i="36"/>
  <c r="AB51" i="36"/>
  <c r="W51" i="36"/>
  <c r="P51" i="36"/>
  <c r="Q51" i="36"/>
  <c r="AA50" i="36"/>
  <c r="W50" i="36"/>
  <c r="P50" i="36"/>
  <c r="Q50" i="36"/>
  <c r="Z49" i="36"/>
  <c r="Y49" i="36"/>
  <c r="Q49" i="36"/>
  <c r="O49" i="36"/>
  <c r="G49" i="36"/>
  <c r="F49" i="36"/>
  <c r="Z48" i="36"/>
  <c r="Y48" i="36"/>
  <c r="Q48" i="36"/>
  <c r="O48" i="36"/>
  <c r="W47" i="36"/>
  <c r="P47" i="36"/>
  <c r="Q47" i="36"/>
  <c r="W46" i="36"/>
  <c r="P46" i="36"/>
  <c r="Q46" i="36"/>
  <c r="W45" i="36"/>
  <c r="P45" i="36"/>
  <c r="Q45" i="36"/>
  <c r="AA44" i="36"/>
  <c r="W44" i="36"/>
  <c r="P44" i="36"/>
  <c r="Q44" i="36"/>
  <c r="AA43" i="36"/>
  <c r="W43" i="36"/>
  <c r="P43" i="36"/>
  <c r="Q43" i="36"/>
  <c r="AA42" i="36"/>
  <c r="W42" i="36"/>
  <c r="P42" i="36"/>
  <c r="Q42" i="36"/>
  <c r="W41" i="36"/>
  <c r="P41" i="36"/>
  <c r="Q41" i="36"/>
  <c r="AA40" i="36"/>
  <c r="Q40" i="36"/>
  <c r="O40" i="36"/>
  <c r="G40" i="36"/>
  <c r="F40" i="36"/>
  <c r="AA39" i="36"/>
  <c r="Q39" i="36"/>
  <c r="O39" i="36"/>
  <c r="W38" i="36"/>
  <c r="P38" i="36"/>
  <c r="Q38" i="36"/>
  <c r="AA37" i="36"/>
  <c r="W37" i="36"/>
  <c r="P37" i="36"/>
  <c r="Q37" i="36"/>
  <c r="AA36" i="36"/>
  <c r="W36" i="36"/>
  <c r="P36" i="36"/>
  <c r="Q36" i="36"/>
  <c r="AA35" i="36"/>
  <c r="W35" i="36"/>
  <c r="P35" i="36"/>
  <c r="Q35" i="36"/>
  <c r="AA34" i="36"/>
  <c r="W34" i="36"/>
  <c r="P34" i="36"/>
  <c r="Q34" i="36"/>
  <c r="AA33" i="36"/>
  <c r="W33" i="36"/>
  <c r="P33" i="36"/>
  <c r="Q33" i="36"/>
  <c r="W32" i="36"/>
  <c r="P32" i="36"/>
  <c r="Q32" i="36"/>
  <c r="AA31" i="36"/>
  <c r="Q31" i="36"/>
  <c r="O31" i="36"/>
  <c r="G31" i="36"/>
  <c r="F31" i="36"/>
  <c r="AA30" i="36"/>
  <c r="Q30" i="36"/>
  <c r="O30" i="36"/>
  <c r="W29" i="36"/>
  <c r="P29" i="36"/>
  <c r="Q29" i="36"/>
  <c r="AA28" i="36"/>
  <c r="W28" i="36"/>
  <c r="P28" i="36"/>
  <c r="Q28" i="36"/>
  <c r="AA27" i="36"/>
  <c r="W27" i="36"/>
  <c r="P27" i="36"/>
  <c r="Q27" i="36"/>
  <c r="AA26" i="36"/>
  <c r="W26" i="36"/>
  <c r="P26" i="36"/>
  <c r="Q26" i="36"/>
  <c r="AA25" i="36"/>
  <c r="W25" i="36"/>
  <c r="P25" i="36"/>
  <c r="Q25" i="36"/>
  <c r="AA24" i="36"/>
  <c r="W24" i="36"/>
  <c r="P24" i="36"/>
  <c r="Q24" i="36"/>
  <c r="AA23" i="36"/>
  <c r="W23" i="36"/>
  <c r="P23" i="36"/>
  <c r="Q23" i="36"/>
  <c r="AA22" i="36"/>
  <c r="Q22" i="36"/>
  <c r="O22" i="36"/>
  <c r="G22" i="36"/>
  <c r="F22" i="36"/>
  <c r="AA21" i="36"/>
  <c r="Q21" i="36"/>
  <c r="O21" i="36"/>
  <c r="W20" i="36"/>
  <c r="P20" i="36"/>
  <c r="Q20" i="36"/>
  <c r="AA19" i="36"/>
  <c r="W19" i="36"/>
  <c r="P19" i="36"/>
  <c r="Q19" i="36"/>
  <c r="AA18" i="36"/>
  <c r="W18" i="36"/>
  <c r="P18" i="36"/>
  <c r="Q18" i="36"/>
  <c r="AA17" i="36"/>
  <c r="W17" i="36"/>
  <c r="P17" i="36"/>
  <c r="Q17" i="36"/>
  <c r="AA16" i="36"/>
  <c r="W16" i="36"/>
  <c r="P16" i="36"/>
  <c r="Q16" i="36"/>
  <c r="AA15" i="36"/>
  <c r="W15" i="36"/>
  <c r="P15" i="36"/>
  <c r="Q15" i="36"/>
  <c r="W14" i="36"/>
  <c r="P14" i="36"/>
  <c r="Q14" i="36"/>
  <c r="AA13" i="36"/>
  <c r="Q13" i="36"/>
  <c r="O13" i="36"/>
  <c r="G13" i="36"/>
  <c r="F13" i="36"/>
  <c r="AA12" i="36"/>
  <c r="Q12" i="36"/>
  <c r="O12" i="36"/>
  <c r="W11" i="36"/>
  <c r="P11" i="36"/>
  <c r="Q11" i="36"/>
  <c r="AA10" i="36"/>
  <c r="W10" i="36"/>
  <c r="P10" i="36"/>
  <c r="Q10" i="36"/>
  <c r="AA9" i="36"/>
  <c r="W9" i="36"/>
  <c r="P9" i="36"/>
  <c r="Q9" i="36"/>
  <c r="AA8" i="36"/>
  <c r="W8" i="36"/>
  <c r="P8" i="36"/>
  <c r="Q8" i="36"/>
  <c r="AA7" i="36"/>
  <c r="W7" i="36"/>
  <c r="P7" i="36"/>
  <c r="Q7" i="36"/>
  <c r="AA6" i="36"/>
  <c r="W6" i="36"/>
  <c r="P6" i="36"/>
  <c r="Q6" i="36"/>
  <c r="AA5" i="36"/>
  <c r="W5" i="36"/>
  <c r="P5" i="36"/>
  <c r="Q5" i="36"/>
  <c r="P4" i="36"/>
  <c r="Q4" i="36"/>
  <c r="H3" i="36"/>
  <c r="E3" i="36"/>
  <c r="E1" i="36"/>
  <c r="L58" i="35"/>
  <c r="L58" i="34"/>
  <c r="L58" i="33"/>
  <c r="L58" i="32"/>
  <c r="L58" i="31"/>
  <c r="V59" i="35"/>
  <c r="U59" i="35"/>
  <c r="T59" i="35"/>
  <c r="S59" i="35"/>
  <c r="R59" i="35"/>
  <c r="Q59" i="35"/>
  <c r="P59" i="35"/>
  <c r="V58" i="33"/>
  <c r="V59" i="33"/>
  <c r="U58" i="33"/>
  <c r="U59" i="33"/>
  <c r="T58" i="33"/>
  <c r="T59" i="33"/>
  <c r="S58" i="33"/>
  <c r="S59" i="33"/>
  <c r="R58" i="33"/>
  <c r="R59" i="33"/>
  <c r="Q58" i="33"/>
  <c r="Q59" i="33"/>
  <c r="P58" i="33"/>
  <c r="P59" i="33"/>
  <c r="V58" i="32"/>
  <c r="V59" i="32"/>
  <c r="U58" i="32"/>
  <c r="U59" i="32"/>
  <c r="T58" i="32"/>
  <c r="T59" i="32"/>
  <c r="S58" i="32"/>
  <c r="S59" i="32"/>
  <c r="R58" i="32"/>
  <c r="R59" i="32"/>
  <c r="Q58" i="32"/>
  <c r="Q59" i="32"/>
  <c r="P58" i="32"/>
  <c r="P59" i="32"/>
  <c r="V58" i="31"/>
  <c r="V59" i="31"/>
  <c r="U58" i="31"/>
  <c r="U59" i="31"/>
  <c r="T58" i="31"/>
  <c r="T59" i="31"/>
  <c r="S58" i="31"/>
  <c r="S59" i="31"/>
  <c r="R58" i="31"/>
  <c r="R59" i="31"/>
  <c r="Q58" i="31"/>
  <c r="Q59" i="31"/>
  <c r="P58" i="31"/>
  <c r="P59" i="31"/>
  <c r="V59" i="4"/>
  <c r="T59" i="4"/>
  <c r="S59" i="4"/>
  <c r="R59" i="4"/>
  <c r="Q59" i="4"/>
  <c r="U59" i="4"/>
  <c r="N59" i="35"/>
  <c r="M59" i="35"/>
  <c r="K59" i="35"/>
  <c r="H59" i="35"/>
  <c r="G59" i="35"/>
  <c r="F59" i="35"/>
  <c r="A59" i="35"/>
  <c r="N53" i="35"/>
  <c r="N54" i="35"/>
  <c r="N55" i="35"/>
  <c r="N56" i="35"/>
  <c r="N57" i="35"/>
  <c r="N58" i="35"/>
  <c r="M58" i="35"/>
  <c r="H58" i="35"/>
  <c r="G58" i="35"/>
  <c r="F58" i="35"/>
  <c r="A58" i="35"/>
  <c r="H56" i="35"/>
  <c r="G56" i="35"/>
  <c r="F56" i="35"/>
  <c r="V55" i="35"/>
  <c r="U55" i="35"/>
  <c r="T55" i="35"/>
  <c r="S55" i="35"/>
  <c r="R55" i="35"/>
  <c r="Q55" i="35"/>
  <c r="P55" i="35"/>
  <c r="G55" i="35"/>
  <c r="F55" i="35"/>
  <c r="D5" i="35"/>
  <c r="D6" i="35"/>
  <c r="D7" i="35"/>
  <c r="D8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V54" i="35"/>
  <c r="U54" i="35"/>
  <c r="T54" i="35"/>
  <c r="S54" i="35"/>
  <c r="R54" i="35"/>
  <c r="Q54" i="35"/>
  <c r="P54" i="35"/>
  <c r="V53" i="35"/>
  <c r="U53" i="35"/>
  <c r="T53" i="35"/>
  <c r="S53" i="35"/>
  <c r="R53" i="35"/>
  <c r="Q53" i="35"/>
  <c r="G53" i="35"/>
  <c r="F53" i="35"/>
  <c r="N52" i="35"/>
  <c r="AB5" i="35"/>
  <c r="AB6" i="35"/>
  <c r="AB7" i="35"/>
  <c r="AB8" i="35"/>
  <c r="AB9" i="35"/>
  <c r="AB10" i="35"/>
  <c r="AB11" i="35"/>
  <c r="AB12" i="35"/>
  <c r="AB13" i="35"/>
  <c r="AB14" i="35"/>
  <c r="AB15" i="35"/>
  <c r="AB16" i="35"/>
  <c r="AB17" i="35"/>
  <c r="AB18" i="35"/>
  <c r="AB19" i="35"/>
  <c r="AB20" i="35"/>
  <c r="AB21" i="35"/>
  <c r="AB22" i="35"/>
  <c r="AB23" i="35"/>
  <c r="AB24" i="35"/>
  <c r="AB25" i="35"/>
  <c r="AB26" i="35"/>
  <c r="AB27" i="35"/>
  <c r="AB28" i="35"/>
  <c r="AB29" i="35"/>
  <c r="AB30" i="35"/>
  <c r="AB31" i="35"/>
  <c r="AB32" i="35"/>
  <c r="AB33" i="35"/>
  <c r="AB34" i="35"/>
  <c r="AB35" i="35"/>
  <c r="AB36" i="35"/>
  <c r="AB37" i="35"/>
  <c r="AB38" i="35"/>
  <c r="AB39" i="35"/>
  <c r="AB40" i="35"/>
  <c r="AB41" i="35"/>
  <c r="AB42" i="35"/>
  <c r="AB43" i="35"/>
  <c r="AB44" i="35"/>
  <c r="AB45" i="35"/>
  <c r="AB46" i="35"/>
  <c r="AB47" i="35"/>
  <c r="AB48" i="35"/>
  <c r="AB49" i="35"/>
  <c r="AB50" i="35"/>
  <c r="AB51" i="35"/>
  <c r="W51" i="35"/>
  <c r="P51" i="35"/>
  <c r="Q51" i="35"/>
  <c r="W50" i="35"/>
  <c r="P50" i="35"/>
  <c r="Q50" i="35"/>
  <c r="Z49" i="35"/>
  <c r="Y49" i="35"/>
  <c r="Q49" i="35"/>
  <c r="O49" i="35"/>
  <c r="G49" i="35"/>
  <c r="F49" i="35"/>
  <c r="Z48" i="35"/>
  <c r="Y48" i="35"/>
  <c r="Q48" i="35"/>
  <c r="O48" i="35"/>
  <c r="W47" i="35"/>
  <c r="P47" i="35"/>
  <c r="Q47" i="35"/>
  <c r="AA46" i="35"/>
  <c r="W46" i="35"/>
  <c r="P46" i="35"/>
  <c r="Q46" i="35"/>
  <c r="AA45" i="35"/>
  <c r="W45" i="35"/>
  <c r="P45" i="35"/>
  <c r="Q45" i="35"/>
  <c r="W44" i="35"/>
  <c r="P44" i="35"/>
  <c r="Q44" i="35"/>
  <c r="AA43" i="35"/>
  <c r="W43" i="35"/>
  <c r="P43" i="35"/>
  <c r="Q43" i="35"/>
  <c r="W42" i="35"/>
  <c r="P42" i="35"/>
  <c r="Q42" i="35"/>
  <c r="W41" i="35"/>
  <c r="P41" i="35"/>
  <c r="Q41" i="35"/>
  <c r="AA40" i="35"/>
  <c r="Q40" i="35"/>
  <c r="O40" i="35"/>
  <c r="G40" i="35"/>
  <c r="F40" i="35"/>
  <c r="AA39" i="35"/>
  <c r="Q39" i="35"/>
  <c r="O39" i="35"/>
  <c r="W38" i="35"/>
  <c r="P38" i="35"/>
  <c r="Q38" i="35"/>
  <c r="AA37" i="35"/>
  <c r="W37" i="35"/>
  <c r="P37" i="35"/>
  <c r="Q37" i="35"/>
  <c r="AA36" i="35"/>
  <c r="W36" i="35"/>
  <c r="P36" i="35"/>
  <c r="Q36" i="35"/>
  <c r="AA35" i="35"/>
  <c r="W35" i="35"/>
  <c r="P35" i="35"/>
  <c r="Q35" i="35"/>
  <c r="AA34" i="35"/>
  <c r="W34" i="35"/>
  <c r="P34" i="35"/>
  <c r="Q34" i="35"/>
  <c r="W33" i="35"/>
  <c r="P33" i="35"/>
  <c r="Q33" i="35"/>
  <c r="AA32" i="35"/>
  <c r="W32" i="35"/>
  <c r="P32" i="35"/>
  <c r="Q32" i="35"/>
  <c r="AA31" i="35"/>
  <c r="Q31" i="35"/>
  <c r="O31" i="35"/>
  <c r="G31" i="35"/>
  <c r="F31" i="35"/>
  <c r="AA30" i="35"/>
  <c r="Q30" i="35"/>
  <c r="O30" i="35"/>
  <c r="W29" i="35"/>
  <c r="P29" i="35"/>
  <c r="Q29" i="35"/>
  <c r="AA28" i="35"/>
  <c r="W28" i="35"/>
  <c r="P28" i="35"/>
  <c r="Q28" i="35"/>
  <c r="W27" i="35"/>
  <c r="P27" i="35"/>
  <c r="Q27" i="35"/>
  <c r="AA26" i="35"/>
  <c r="W26" i="35"/>
  <c r="P26" i="35"/>
  <c r="Q26" i="35"/>
  <c r="AA25" i="35"/>
  <c r="W25" i="35"/>
  <c r="P25" i="35"/>
  <c r="Q25" i="35"/>
  <c r="AA24" i="35"/>
  <c r="W24" i="35"/>
  <c r="P24" i="35"/>
  <c r="Q24" i="35"/>
  <c r="AA23" i="35"/>
  <c r="W23" i="35"/>
  <c r="P23" i="35"/>
  <c r="Q23" i="35"/>
  <c r="AA22" i="35"/>
  <c r="Q22" i="35"/>
  <c r="O22" i="35"/>
  <c r="G22" i="35"/>
  <c r="F22" i="35"/>
  <c r="AA21" i="35"/>
  <c r="Q21" i="35"/>
  <c r="O21" i="35"/>
  <c r="W20" i="35"/>
  <c r="P20" i="35"/>
  <c r="Q20" i="35"/>
  <c r="AA19" i="35"/>
  <c r="W19" i="35"/>
  <c r="P19" i="35"/>
  <c r="Q19" i="35"/>
  <c r="AA18" i="35"/>
  <c r="W18" i="35"/>
  <c r="P18" i="35"/>
  <c r="Q18" i="35"/>
  <c r="AA17" i="35"/>
  <c r="W17" i="35"/>
  <c r="P17" i="35"/>
  <c r="Q17" i="35"/>
  <c r="AA16" i="35"/>
  <c r="W16" i="35"/>
  <c r="P16" i="35"/>
  <c r="Q16" i="35"/>
  <c r="AA15" i="35"/>
  <c r="W15" i="35"/>
  <c r="P15" i="35"/>
  <c r="Q15" i="35"/>
  <c r="AA14" i="35"/>
  <c r="W14" i="35"/>
  <c r="P14" i="35"/>
  <c r="Q14" i="35"/>
  <c r="AA13" i="35"/>
  <c r="Q13" i="35"/>
  <c r="O13" i="35"/>
  <c r="G13" i="35"/>
  <c r="F13" i="35"/>
  <c r="AA12" i="35"/>
  <c r="Q12" i="35"/>
  <c r="O12" i="35"/>
  <c r="W11" i="35"/>
  <c r="P11" i="35"/>
  <c r="Q11" i="35"/>
  <c r="AA10" i="35"/>
  <c r="W10" i="35"/>
  <c r="P10" i="35"/>
  <c r="Q10" i="35"/>
  <c r="AA9" i="35"/>
  <c r="W9" i="35"/>
  <c r="P9" i="35"/>
  <c r="Q9" i="35"/>
  <c r="AA8" i="35"/>
  <c r="W8" i="35"/>
  <c r="P8" i="35"/>
  <c r="Q8" i="35"/>
  <c r="AA7" i="35"/>
  <c r="W7" i="35"/>
  <c r="P7" i="35"/>
  <c r="Q7" i="35"/>
  <c r="AA6" i="35"/>
  <c r="W6" i="35"/>
  <c r="P6" i="35"/>
  <c r="Q6" i="35"/>
  <c r="AA5" i="35"/>
  <c r="W5" i="35"/>
  <c r="P5" i="35"/>
  <c r="Q5" i="35"/>
  <c r="P4" i="35"/>
  <c r="Q4" i="35"/>
  <c r="H3" i="35"/>
  <c r="E3" i="35"/>
  <c r="E1" i="35"/>
  <c r="H58" i="31"/>
  <c r="H58" i="4"/>
  <c r="H58" i="32"/>
  <c r="H58" i="33"/>
  <c r="H58" i="34"/>
  <c r="W33" i="33"/>
  <c r="W34" i="33"/>
  <c r="W35" i="33"/>
  <c r="W37" i="33"/>
  <c r="W20" i="32"/>
  <c r="W33" i="32"/>
  <c r="W34" i="32"/>
  <c r="W35" i="32"/>
  <c r="W37" i="32"/>
  <c r="N59" i="34"/>
  <c r="M59" i="34"/>
  <c r="K59" i="34"/>
  <c r="H59" i="34"/>
  <c r="G59" i="34"/>
  <c r="F59" i="34"/>
  <c r="A59" i="34"/>
  <c r="N53" i="34"/>
  <c r="N54" i="34"/>
  <c r="N55" i="34"/>
  <c r="N56" i="34"/>
  <c r="N57" i="34"/>
  <c r="N58" i="34"/>
  <c r="M58" i="34"/>
  <c r="G58" i="34"/>
  <c r="F58" i="34"/>
  <c r="A58" i="34"/>
  <c r="G56" i="34"/>
  <c r="F56" i="34"/>
  <c r="G55" i="34"/>
  <c r="F55" i="34"/>
  <c r="G53" i="34"/>
  <c r="F53" i="34"/>
  <c r="N52" i="34"/>
  <c r="G52" i="34"/>
  <c r="F52" i="34"/>
  <c r="G49" i="34"/>
  <c r="F49" i="34"/>
  <c r="G40" i="34"/>
  <c r="F40" i="34"/>
  <c r="G31" i="34"/>
  <c r="F31" i="34"/>
  <c r="G22" i="34"/>
  <c r="F22" i="34"/>
  <c r="G13" i="34"/>
  <c r="F13" i="34"/>
  <c r="H3" i="34"/>
  <c r="E3" i="34"/>
  <c r="E1" i="34"/>
  <c r="T31" i="16"/>
  <c r="AA10" i="33"/>
  <c r="W7" i="32"/>
  <c r="AA8" i="32"/>
  <c r="AA9" i="32"/>
  <c r="AA10" i="32"/>
  <c r="O12" i="32"/>
  <c r="O13" i="32"/>
  <c r="AA16" i="32"/>
  <c r="AA18" i="32"/>
  <c r="AA19" i="32"/>
  <c r="O21" i="32"/>
  <c r="O22" i="32"/>
  <c r="AA25" i="32"/>
  <c r="AA27" i="32"/>
  <c r="AA28" i="32"/>
  <c r="O30" i="32"/>
  <c r="O31" i="32"/>
  <c r="AA32" i="32"/>
  <c r="AA35" i="32"/>
  <c r="AA37" i="32"/>
  <c r="O39" i="32"/>
  <c r="O40" i="32"/>
  <c r="AA41" i="32"/>
  <c r="AA44" i="32"/>
  <c r="AA45" i="32"/>
  <c r="AA46" i="32"/>
  <c r="O48" i="32"/>
  <c r="Z48" i="32"/>
  <c r="O49" i="32"/>
  <c r="Z49" i="32"/>
  <c r="AA50" i="32"/>
  <c r="N53" i="32"/>
  <c r="N54" i="32"/>
  <c r="G55" i="32"/>
  <c r="F55" i="32"/>
  <c r="N55" i="32"/>
  <c r="N56" i="32"/>
  <c r="N59" i="33"/>
  <c r="M59" i="33"/>
  <c r="K59" i="33"/>
  <c r="H59" i="33"/>
  <c r="G59" i="33"/>
  <c r="F59" i="33"/>
  <c r="A59" i="33"/>
  <c r="N53" i="33"/>
  <c r="N54" i="33"/>
  <c r="N55" i="33"/>
  <c r="N56" i="33"/>
  <c r="N57" i="33"/>
  <c r="N58" i="33"/>
  <c r="M58" i="33"/>
  <c r="G58" i="33"/>
  <c r="F58" i="33"/>
  <c r="A58" i="33"/>
  <c r="G55" i="33"/>
  <c r="F55" i="33"/>
  <c r="N52" i="33"/>
  <c r="AB5" i="33"/>
  <c r="AB6" i="33"/>
  <c r="AB7" i="33"/>
  <c r="AB8" i="33"/>
  <c r="AB9" i="33"/>
  <c r="AB10" i="33"/>
  <c r="AB11" i="33"/>
  <c r="AB12" i="33"/>
  <c r="AB13" i="33"/>
  <c r="AB14" i="33"/>
  <c r="AB15" i="33"/>
  <c r="AB16" i="33"/>
  <c r="AB17" i="33"/>
  <c r="AB18" i="33"/>
  <c r="AB19" i="33"/>
  <c r="AB20" i="33"/>
  <c r="AB21" i="33"/>
  <c r="AB22" i="33"/>
  <c r="AB23" i="33"/>
  <c r="AB24" i="33"/>
  <c r="AB25" i="33"/>
  <c r="AB26" i="33"/>
  <c r="AB27" i="33"/>
  <c r="AB28" i="33"/>
  <c r="AB29" i="33"/>
  <c r="AB30" i="33"/>
  <c r="AB31" i="33"/>
  <c r="AB32" i="33"/>
  <c r="AB33" i="33"/>
  <c r="AB34" i="33"/>
  <c r="AB35" i="33"/>
  <c r="AB36" i="33"/>
  <c r="AB37" i="33"/>
  <c r="AB38" i="33"/>
  <c r="AB39" i="33"/>
  <c r="AB40" i="33"/>
  <c r="AB41" i="33"/>
  <c r="AB42" i="33"/>
  <c r="AB43" i="33"/>
  <c r="AB44" i="33"/>
  <c r="AB45" i="33"/>
  <c r="AB46" i="33"/>
  <c r="AB47" i="33"/>
  <c r="AB48" i="33"/>
  <c r="AB49" i="33"/>
  <c r="AB50" i="33"/>
  <c r="AB51" i="33"/>
  <c r="W51" i="33"/>
  <c r="AA50" i="33"/>
  <c r="W50" i="33"/>
  <c r="Z49" i="33"/>
  <c r="Y49" i="33"/>
  <c r="Q49" i="33"/>
  <c r="O49" i="33"/>
  <c r="Z48" i="33"/>
  <c r="Y48" i="33"/>
  <c r="Q48" i="33"/>
  <c r="O48" i="33"/>
  <c r="W47" i="33"/>
  <c r="AA46" i="33"/>
  <c r="W46" i="33"/>
  <c r="AA45" i="33"/>
  <c r="W45" i="33"/>
  <c r="W44" i="33"/>
  <c r="W43" i="33"/>
  <c r="W42" i="33"/>
  <c r="W41" i="33"/>
  <c r="AA40" i="33"/>
  <c r="Q40" i="33"/>
  <c r="O40" i="33"/>
  <c r="AA39" i="33"/>
  <c r="Q39" i="33"/>
  <c r="O39" i="33"/>
  <c r="W38" i="33"/>
  <c r="AA37" i="33"/>
  <c r="W36" i="33"/>
  <c r="AA34" i="33"/>
  <c r="AA32" i="33"/>
  <c r="W32" i="33"/>
  <c r="AA31" i="33"/>
  <c r="Q31" i="33"/>
  <c r="O31" i="33"/>
  <c r="AA30" i="33"/>
  <c r="Q30" i="33"/>
  <c r="O30" i="33"/>
  <c r="W29" i="33"/>
  <c r="W28" i="33"/>
  <c r="W27" i="33"/>
  <c r="AA26" i="33"/>
  <c r="W26" i="33"/>
  <c r="AA25" i="33"/>
  <c r="W25" i="33"/>
  <c r="AA24" i="33"/>
  <c r="W24" i="33"/>
  <c r="AA23" i="33"/>
  <c r="W23" i="33"/>
  <c r="AA22" i="33"/>
  <c r="Q22" i="33"/>
  <c r="O22" i="33"/>
  <c r="AA21" i="33"/>
  <c r="Q21" i="33"/>
  <c r="O21" i="33"/>
  <c r="W20" i="33"/>
  <c r="W19" i="33"/>
  <c r="W18" i="33"/>
  <c r="W17" i="33"/>
  <c r="AA16" i="33"/>
  <c r="W16" i="33"/>
  <c r="AA15" i="33"/>
  <c r="W15" i="33"/>
  <c r="AA14" i="33"/>
  <c r="W14" i="33"/>
  <c r="AA13" i="33"/>
  <c r="Q13" i="33"/>
  <c r="O13" i="33"/>
  <c r="AA12" i="33"/>
  <c r="Q12" i="33"/>
  <c r="O12" i="33"/>
  <c r="W11" i="33"/>
  <c r="W10" i="33"/>
  <c r="AA9" i="33"/>
  <c r="W9" i="33"/>
  <c r="AA8" i="33"/>
  <c r="W8" i="33"/>
  <c r="AA7" i="33"/>
  <c r="W7" i="33"/>
  <c r="AA6" i="33"/>
  <c r="W6" i="33"/>
  <c r="AA5" i="33"/>
  <c r="W5" i="33"/>
  <c r="H3" i="33"/>
  <c r="E3" i="33"/>
  <c r="E1" i="33"/>
  <c r="N59" i="32"/>
  <c r="M59" i="32"/>
  <c r="K59" i="32"/>
  <c r="H59" i="32"/>
  <c r="G59" i="32"/>
  <c r="F59" i="32"/>
  <c r="A59" i="32"/>
  <c r="N57" i="32"/>
  <c r="N58" i="32"/>
  <c r="M58" i="32"/>
  <c r="G58" i="32"/>
  <c r="F58" i="32"/>
  <c r="A58" i="32"/>
  <c r="N52" i="32"/>
  <c r="AB5" i="32"/>
  <c r="AB6" i="32"/>
  <c r="AB7" i="32"/>
  <c r="AB8" i="32"/>
  <c r="AB9" i="32"/>
  <c r="AB10" i="32"/>
  <c r="AB11" i="32"/>
  <c r="AB12" i="32"/>
  <c r="AB13" i="32"/>
  <c r="AB14" i="32"/>
  <c r="AB15" i="32"/>
  <c r="AB16" i="32"/>
  <c r="AB17" i="32"/>
  <c r="AB18" i="32"/>
  <c r="AB19" i="32"/>
  <c r="AB20" i="32"/>
  <c r="AB21" i="32"/>
  <c r="AB22" i="32"/>
  <c r="AB23" i="32"/>
  <c r="AB24" i="32"/>
  <c r="AB25" i="32"/>
  <c r="AB26" i="32"/>
  <c r="AB27" i="32"/>
  <c r="AB28" i="32"/>
  <c r="AB29" i="32"/>
  <c r="AB30" i="32"/>
  <c r="AB31" i="32"/>
  <c r="AB32" i="32"/>
  <c r="AB33" i="32"/>
  <c r="AB34" i="32"/>
  <c r="AB35" i="32"/>
  <c r="AB36" i="32"/>
  <c r="AB37" i="32"/>
  <c r="AB38" i="32"/>
  <c r="AB39" i="32"/>
  <c r="AB40" i="32"/>
  <c r="AB41" i="32"/>
  <c r="AB42" i="32"/>
  <c r="AB43" i="32"/>
  <c r="AB44" i="32"/>
  <c r="AB45" i="32"/>
  <c r="AB46" i="32"/>
  <c r="AB47" i="32"/>
  <c r="AB48" i="32"/>
  <c r="AB49" i="32"/>
  <c r="AB50" i="32"/>
  <c r="AB51" i="32"/>
  <c r="W51" i="32"/>
  <c r="W50" i="32"/>
  <c r="Y49" i="32"/>
  <c r="Q49" i="32"/>
  <c r="Y48" i="32"/>
  <c r="Q48" i="32"/>
  <c r="W47" i="32"/>
  <c r="W46" i="32"/>
  <c r="W45" i="32"/>
  <c r="W44" i="32"/>
  <c r="W43" i="32"/>
  <c r="W42" i="32"/>
  <c r="W41" i="32"/>
  <c r="AA40" i="32"/>
  <c r="Q40" i="32"/>
  <c r="AA39" i="32"/>
  <c r="Q39" i="32"/>
  <c r="W38" i="32"/>
  <c r="W36" i="32"/>
  <c r="W32" i="32"/>
  <c r="AA31" i="32"/>
  <c r="Q31" i="32"/>
  <c r="AA30" i="32"/>
  <c r="Q30" i="32"/>
  <c r="W29" i="32"/>
  <c r="W28" i="32"/>
  <c r="W27" i="32"/>
  <c r="W26" i="32"/>
  <c r="W25" i="32"/>
  <c r="W24" i="32"/>
  <c r="W23" i="32"/>
  <c r="AA22" i="32"/>
  <c r="Q22" i="32"/>
  <c r="AA21" i="32"/>
  <c r="Q21" i="32"/>
  <c r="W19" i="32"/>
  <c r="W18" i="32"/>
  <c r="W17" i="32"/>
  <c r="W16" i="32"/>
  <c r="W15" i="32"/>
  <c r="W14" i="32"/>
  <c r="AA13" i="32"/>
  <c r="Q13" i="32"/>
  <c r="AA12" i="32"/>
  <c r="Q12" i="32"/>
  <c r="W11" i="32"/>
  <c r="W10" i="32"/>
  <c r="W9" i="32"/>
  <c r="W8" i="32"/>
  <c r="AA6" i="32"/>
  <c r="W6" i="32"/>
  <c r="AA5" i="32"/>
  <c r="W5" i="32"/>
  <c r="H3" i="32"/>
  <c r="E3" i="32"/>
  <c r="E1" i="32"/>
  <c r="Q53" i="31"/>
  <c r="P53" i="31"/>
  <c r="N52" i="31"/>
  <c r="N59" i="31"/>
  <c r="M59" i="31"/>
  <c r="K59" i="31"/>
  <c r="H59" i="31"/>
  <c r="G59" i="31"/>
  <c r="F59" i="31"/>
  <c r="A59" i="31"/>
  <c r="J13" i="31"/>
  <c r="J21" i="31"/>
  <c r="J31" i="31"/>
  <c r="J49" i="31"/>
  <c r="N53" i="31"/>
  <c r="N54" i="31"/>
  <c r="N55" i="31"/>
  <c r="N56" i="31"/>
  <c r="N57" i="31"/>
  <c r="N58" i="31"/>
  <c r="M58" i="31"/>
  <c r="G58" i="31"/>
  <c r="F58" i="31"/>
  <c r="A58" i="31"/>
  <c r="H56" i="31"/>
  <c r="G56" i="31"/>
  <c r="F56" i="31"/>
  <c r="V55" i="31"/>
  <c r="U55" i="31"/>
  <c r="T55" i="31"/>
  <c r="S55" i="31"/>
  <c r="R55" i="31"/>
  <c r="Q55" i="31"/>
  <c r="P55" i="31"/>
  <c r="G55" i="31"/>
  <c r="F55" i="3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V54" i="31"/>
  <c r="U54" i="31"/>
  <c r="T54" i="31"/>
  <c r="S54" i="31"/>
  <c r="R54" i="31"/>
  <c r="Q54" i="31"/>
  <c r="P54" i="31"/>
  <c r="V53" i="31"/>
  <c r="U53" i="31"/>
  <c r="T53" i="31"/>
  <c r="S53" i="31"/>
  <c r="R53" i="31"/>
  <c r="G53" i="31"/>
  <c r="F53" i="31"/>
  <c r="G52" i="31"/>
  <c r="F52" i="31"/>
  <c r="AB5" i="31"/>
  <c r="AB6" i="31"/>
  <c r="AB7" i="31"/>
  <c r="AB8" i="31"/>
  <c r="AB9" i="31"/>
  <c r="AB10" i="31"/>
  <c r="AB11" i="31"/>
  <c r="AB12" i="31"/>
  <c r="AB13" i="31"/>
  <c r="AB14" i="31"/>
  <c r="AB15" i="31"/>
  <c r="AB16" i="31"/>
  <c r="AB17" i="31"/>
  <c r="AB18" i="31"/>
  <c r="AB19" i="31"/>
  <c r="AB20" i="31"/>
  <c r="AB21" i="31"/>
  <c r="AB22" i="31"/>
  <c r="AB23" i="31"/>
  <c r="AB24" i="31"/>
  <c r="AB25" i="31"/>
  <c r="AB26" i="31"/>
  <c r="AB27" i="31"/>
  <c r="AB28" i="31"/>
  <c r="AB29" i="31"/>
  <c r="AB30" i="31"/>
  <c r="AB31" i="31"/>
  <c r="AB32" i="31"/>
  <c r="AB33" i="31"/>
  <c r="AB34" i="31"/>
  <c r="AB35" i="31"/>
  <c r="AB36" i="31"/>
  <c r="AB37" i="31"/>
  <c r="AB38" i="31"/>
  <c r="AB39" i="31"/>
  <c r="AB40" i="31"/>
  <c r="AB41" i="31"/>
  <c r="AB42" i="31"/>
  <c r="AB43" i="31"/>
  <c r="AB44" i="31"/>
  <c r="AB45" i="31"/>
  <c r="AB46" i="31"/>
  <c r="AB47" i="31"/>
  <c r="AB48" i="31"/>
  <c r="AB49" i="31"/>
  <c r="AB50" i="31"/>
  <c r="AB51" i="31"/>
  <c r="W51" i="31"/>
  <c r="P51" i="31"/>
  <c r="Q51" i="31"/>
  <c r="AA50" i="31"/>
  <c r="W50" i="31"/>
  <c r="P50" i="31"/>
  <c r="Q50" i="31"/>
  <c r="Z49" i="31"/>
  <c r="Y49" i="31"/>
  <c r="Q49" i="31"/>
  <c r="O49" i="31"/>
  <c r="Z48" i="31"/>
  <c r="Y48" i="31"/>
  <c r="Q48" i="31"/>
  <c r="O48" i="31"/>
  <c r="W47" i="31"/>
  <c r="P47" i="31"/>
  <c r="Q47" i="31"/>
  <c r="AA46" i="31"/>
  <c r="W46" i="31"/>
  <c r="P46" i="31"/>
  <c r="Q46" i="31"/>
  <c r="AA45" i="31"/>
  <c r="W45" i="31"/>
  <c r="P45" i="31"/>
  <c r="Q45" i="31"/>
  <c r="AA44" i="31"/>
  <c r="W44" i="31"/>
  <c r="P44" i="31"/>
  <c r="Q44" i="31"/>
  <c r="W43" i="31"/>
  <c r="P43" i="31"/>
  <c r="Q43" i="31"/>
  <c r="W42" i="31"/>
  <c r="P42" i="31"/>
  <c r="Q42" i="31"/>
  <c r="W41" i="31"/>
  <c r="P41" i="31"/>
  <c r="Q41" i="31"/>
  <c r="AA40" i="31"/>
  <c r="Q40" i="31"/>
  <c r="O40" i="31"/>
  <c r="AA39" i="31"/>
  <c r="Q39" i="31"/>
  <c r="O39" i="31"/>
  <c r="W38" i="31"/>
  <c r="P38" i="31"/>
  <c r="Q38" i="31"/>
  <c r="W37" i="31"/>
  <c r="P37" i="31"/>
  <c r="Q37" i="31"/>
  <c r="W36" i="31"/>
  <c r="P36" i="31"/>
  <c r="Q36" i="31"/>
  <c r="AA35" i="31"/>
  <c r="W35" i="31"/>
  <c r="P35" i="31"/>
  <c r="Q35" i="31"/>
  <c r="W34" i="31"/>
  <c r="P34" i="31"/>
  <c r="Q34" i="31"/>
  <c r="W33" i="31"/>
  <c r="P33" i="31"/>
  <c r="Q33" i="31"/>
  <c r="W32" i="31"/>
  <c r="P32" i="31"/>
  <c r="Q32" i="31"/>
  <c r="AA31" i="31"/>
  <c r="Q31" i="31"/>
  <c r="O31" i="31"/>
  <c r="AA30" i="31"/>
  <c r="Q30" i="31"/>
  <c r="O30" i="31"/>
  <c r="W29" i="31"/>
  <c r="P29" i="31"/>
  <c r="Q29" i="31"/>
  <c r="W28" i="31"/>
  <c r="P28" i="31"/>
  <c r="Q28" i="31"/>
  <c r="AA27" i="31"/>
  <c r="W27" i="31"/>
  <c r="P27" i="31"/>
  <c r="Q27" i="31"/>
  <c r="W26" i="31"/>
  <c r="P26" i="31"/>
  <c r="Q26" i="31"/>
  <c r="W25" i="31"/>
  <c r="P25" i="31"/>
  <c r="Q25" i="31"/>
  <c r="W24" i="31"/>
  <c r="P24" i="31"/>
  <c r="Q24" i="31"/>
  <c r="W23" i="31"/>
  <c r="P23" i="31"/>
  <c r="Q23" i="31"/>
  <c r="AA22" i="31"/>
  <c r="Q22" i="31"/>
  <c r="O22" i="31"/>
  <c r="AA21" i="31"/>
  <c r="Q21" i="31"/>
  <c r="O21" i="31"/>
  <c r="W20" i="31"/>
  <c r="P20" i="31"/>
  <c r="Q20" i="31"/>
  <c r="W19" i="31"/>
  <c r="P19" i="31"/>
  <c r="Q19" i="31"/>
  <c r="W18" i="31"/>
  <c r="P18" i="31"/>
  <c r="Q18" i="31"/>
  <c r="W17" i="31"/>
  <c r="P17" i="31"/>
  <c r="Q17" i="31"/>
  <c r="W16" i="31"/>
  <c r="P16" i="31"/>
  <c r="Q16" i="31"/>
  <c r="W15" i="31"/>
  <c r="P15" i="31"/>
  <c r="Q15" i="31"/>
  <c r="W14" i="31"/>
  <c r="P14" i="31"/>
  <c r="Q14" i="31"/>
  <c r="AA13" i="31"/>
  <c r="Q13" i="31"/>
  <c r="O13" i="31"/>
  <c r="AA12" i="31"/>
  <c r="Q12" i="31"/>
  <c r="O12" i="31"/>
  <c r="W11" i="31"/>
  <c r="P11" i="31"/>
  <c r="Q11" i="31"/>
  <c r="W10" i="31"/>
  <c r="P10" i="31"/>
  <c r="Q10" i="31"/>
  <c r="W9" i="31"/>
  <c r="P9" i="31"/>
  <c r="Q9" i="31"/>
  <c r="AA8" i="31"/>
  <c r="W8" i="31"/>
  <c r="P8" i="31"/>
  <c r="Q8" i="31"/>
  <c r="AA7" i="31"/>
  <c r="W7" i="31"/>
  <c r="P7" i="31"/>
  <c r="Q7" i="31"/>
  <c r="AA6" i="31"/>
  <c r="W6" i="31"/>
  <c r="P6" i="31"/>
  <c r="Q6" i="31"/>
  <c r="AA5" i="31"/>
  <c r="W5" i="31"/>
  <c r="P5" i="31"/>
  <c r="Q5" i="31"/>
  <c r="P4" i="31"/>
  <c r="Q4" i="31"/>
  <c r="H3" i="31"/>
  <c r="E3" i="31"/>
  <c r="E1" i="31"/>
  <c r="AR34" i="16"/>
  <c r="AR33" i="16"/>
  <c r="AR32" i="16"/>
  <c r="AR31" i="16"/>
  <c r="AZ29" i="16"/>
  <c r="AZ30" i="16"/>
  <c r="AR29" i="16"/>
  <c r="AR30" i="16"/>
  <c r="N52" i="4"/>
  <c r="G53" i="4"/>
  <c r="F53" i="4"/>
  <c r="G56" i="4"/>
  <c r="F56" i="4"/>
  <c r="AQ41" i="16"/>
  <c r="AP41" i="16"/>
  <c r="AO41" i="16"/>
  <c r="AN41" i="16"/>
  <c r="AM41" i="16"/>
  <c r="AP28" i="16"/>
  <c r="AP44" i="16"/>
  <c r="AO28" i="16"/>
  <c r="AO44" i="16"/>
  <c r="AN28" i="16"/>
  <c r="AN44" i="16"/>
  <c r="AM28" i="16"/>
  <c r="AM44" i="16"/>
  <c r="AP42" i="16"/>
  <c r="AO42" i="16"/>
  <c r="AN42" i="16"/>
  <c r="AM42" i="16"/>
  <c r="T30" i="16"/>
  <c r="M59" i="4"/>
  <c r="M58" i="4"/>
  <c r="N54" i="4"/>
  <c r="N57" i="4"/>
  <c r="N56" i="4"/>
  <c r="N55" i="4"/>
  <c r="F6" i="16"/>
  <c r="N59" i="4"/>
  <c r="H59" i="4"/>
  <c r="K59" i="4"/>
  <c r="P20" i="16"/>
  <c r="P22" i="16"/>
  <c r="B10" i="16"/>
  <c r="M20" i="16"/>
  <c r="C41" i="16"/>
  <c r="C48" i="16"/>
  <c r="K20" i="16"/>
  <c r="O22" i="16"/>
  <c r="N22" i="16"/>
  <c r="AC40" i="16"/>
  <c r="AC39" i="16"/>
  <c r="AC38" i="16"/>
  <c r="AC37" i="16"/>
  <c r="AC36" i="16"/>
  <c r="AC35" i="16"/>
  <c r="AB35" i="16"/>
  <c r="W35" i="16"/>
  <c r="T37" i="16"/>
  <c r="AB37" i="16"/>
  <c r="W37" i="16"/>
  <c r="Y37" i="16"/>
  <c r="AA37" i="16"/>
  <c r="D28" i="16"/>
  <c r="T29" i="16"/>
  <c r="D14" i="16"/>
  <c r="AC34" i="16"/>
  <c r="AC33" i="16"/>
  <c r="AC32" i="16"/>
  <c r="AC31" i="16"/>
  <c r="AC30" i="16"/>
  <c r="AC29" i="16"/>
  <c r="H3" i="4"/>
  <c r="E1" i="4"/>
  <c r="A58" i="4"/>
  <c r="A59" i="4"/>
  <c r="E3" i="4"/>
  <c r="G59" i="4"/>
  <c r="F59" i="4"/>
  <c r="AD39" i="16"/>
  <c r="AB39" i="16"/>
  <c r="AB38" i="16"/>
  <c r="W38" i="16"/>
  <c r="Y38" i="16"/>
  <c r="AD40" i="16"/>
  <c r="AB40" i="16"/>
  <c r="W39" i="16"/>
  <c r="Y39" i="16"/>
  <c r="W40" i="16"/>
  <c r="Y40" i="16"/>
  <c r="X40" i="16"/>
  <c r="X30" i="16"/>
  <c r="AB30" i="16"/>
  <c r="Z30" i="16"/>
  <c r="Z37" i="16"/>
  <c r="X37" i="16"/>
  <c r="X38" i="16"/>
  <c r="X31" i="16"/>
  <c r="AB31" i="16"/>
  <c r="Z31" i="16"/>
  <c r="X32" i="16"/>
  <c r="AB32" i="16"/>
  <c r="Z32" i="16"/>
  <c r="X39" i="16"/>
  <c r="Z39" i="16"/>
  <c r="X34" i="16"/>
  <c r="AB34" i="16"/>
  <c r="Z34" i="16"/>
  <c r="X33" i="16"/>
  <c r="AB33" i="16"/>
  <c r="Z33" i="16"/>
  <c r="X35" i="16"/>
  <c r="Z35" i="16"/>
  <c r="X36" i="16"/>
  <c r="AB36" i="16"/>
  <c r="Z36" i="16"/>
  <c r="X29" i="16"/>
  <c r="Z40" i="16"/>
  <c r="G13" i="4"/>
  <c r="F13" i="4"/>
  <c r="Z29" i="16"/>
  <c r="AD29" i="16"/>
  <c r="G22" i="4"/>
  <c r="F22" i="4"/>
  <c r="H21" i="16"/>
  <c r="G31" i="4"/>
  <c r="F31" i="4"/>
  <c r="G40" i="4"/>
  <c r="F40" i="4"/>
  <c r="G49" i="4"/>
  <c r="F49" i="4"/>
  <c r="Y29" i="16"/>
  <c r="W29" i="16"/>
  <c r="AA29" i="16"/>
  <c r="AD30" i="16"/>
  <c r="AD32" i="16"/>
  <c r="AD31" i="16"/>
  <c r="W30" i="16"/>
  <c r="Y30" i="16"/>
  <c r="AA30" i="16"/>
  <c r="Y31" i="16"/>
  <c r="W31" i="16"/>
  <c r="W32" i="16"/>
  <c r="Y32" i="16"/>
  <c r="AA31" i="16"/>
  <c r="T32" i="16"/>
  <c r="AA32" i="16"/>
  <c r="AD33" i="16"/>
  <c r="G55" i="4"/>
  <c r="F55" i="4"/>
  <c r="G58" i="4"/>
  <c r="F58" i="4"/>
  <c r="T35" i="16"/>
  <c r="T34" i="16"/>
  <c r="T33" i="16"/>
  <c r="Y33" i="16"/>
  <c r="W33" i="16"/>
  <c r="T36" i="16"/>
  <c r="AD34" i="16"/>
  <c r="AA33" i="16"/>
  <c r="Y34" i="16"/>
  <c r="W34" i="16"/>
  <c r="AD35" i="16"/>
  <c r="AD36" i="16"/>
  <c r="AA34" i="16"/>
  <c r="Y35" i="16"/>
  <c r="AD37" i="16"/>
  <c r="AA35" i="16"/>
  <c r="Y36" i="16"/>
  <c r="W36" i="16"/>
  <c r="T38" i="16"/>
  <c r="AA38" i="16"/>
  <c r="T39" i="16"/>
  <c r="AA39" i="16"/>
  <c r="AA36" i="16"/>
  <c r="AD38" i="16"/>
  <c r="Z38" i="16"/>
  <c r="T40" i="16"/>
  <c r="AA40" i="16"/>
  <c r="O20" i="16"/>
  <c r="N20" i="16"/>
  <c r="K22" i="16"/>
  <c r="J40" i="16"/>
  <c r="D11" i="16"/>
  <c r="D9" i="16"/>
  <c r="D10" i="16"/>
  <c r="N58" i="4"/>
  <c r="G4" i="16"/>
  <c r="P57" i="4"/>
  <c r="L59" i="4"/>
  <c r="L58" i="4"/>
  <c r="P59" i="4"/>
  <c r="AL29" i="16"/>
  <c r="AL42" i="16"/>
  <c r="N2" i="16"/>
  <c r="AK29" i="16"/>
  <c r="AK43" i="16"/>
  <c r="Q2" i="16"/>
  <c r="BA31" i="16"/>
</calcChain>
</file>

<file path=xl/sharedStrings.xml><?xml version="1.0" encoding="utf-8"?>
<sst xmlns="http://schemas.openxmlformats.org/spreadsheetml/2006/main" count="1247" uniqueCount="151">
  <si>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</si>
  <si>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</si>
  <si>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</si>
  <si>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</si>
  <si>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</si>
  <si>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</si>
  <si>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</si>
  <si>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</si>
  <si>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>Week 1</t>
  </si>
  <si>
    <t>Week 2</t>
  </si>
  <si>
    <t>Week 3</t>
  </si>
  <si>
    <t>Week 4</t>
  </si>
  <si>
    <t>Week 5</t>
  </si>
  <si>
    <t>week 1</t>
  </si>
  <si>
    <t>week 2</t>
  </si>
  <si>
    <t>week 3</t>
  </si>
  <si>
    <t>week 4</t>
  </si>
  <si>
    <t>week 5</t>
  </si>
  <si>
    <t xml:space="preserve">todays date </t>
  </si>
  <si>
    <t>Todays Date</t>
  </si>
  <si>
    <t>original target for each month</t>
  </si>
  <si>
    <t>days in each month</t>
  </si>
  <si>
    <t>Week 6</t>
  </si>
  <si>
    <t>week 6</t>
  </si>
  <si>
    <t>original cumulative target dist</t>
  </si>
  <si>
    <t>1st Week start</t>
  </si>
  <si>
    <t>monthly total</t>
  </si>
  <si>
    <t>total swum to date (yd)</t>
  </si>
  <si>
    <t>total swum to date (m)</t>
  </si>
  <si>
    <t>total kilometres</t>
  </si>
  <si>
    <t>total swum to date (Ml)</t>
  </si>
  <si>
    <t>Target metres  per day</t>
  </si>
  <si>
    <t>Target metres per month</t>
  </si>
  <si>
    <t xml:space="preserve">This weeks target : </t>
  </si>
  <si>
    <t>Miles</t>
  </si>
  <si>
    <t>Yards</t>
  </si>
  <si>
    <t>The month so far    =&gt;</t>
  </si>
  <si>
    <t>Meters</t>
  </si>
  <si>
    <t>Daily Total</t>
  </si>
  <si>
    <t>Total</t>
  </si>
  <si>
    <t xml:space="preserve">  week 2</t>
  </si>
  <si>
    <t xml:space="preserve">  week 1</t>
  </si>
  <si>
    <t xml:space="preserve">  week 3</t>
  </si>
  <si>
    <t xml:space="preserve">  week 4</t>
  </si>
  <si>
    <t xml:space="preserve">  week 5</t>
  </si>
  <si>
    <t xml:space="preserve">  week 6</t>
  </si>
  <si>
    <t xml:space="preserve"> target  total</t>
  </si>
  <si>
    <t xml:space="preserve">   target</t>
  </si>
  <si>
    <t>METRES</t>
  </si>
  <si>
    <t xml:space="preserve">YARDS </t>
  </si>
  <si>
    <t xml:space="preserve"> ..day      ..week     ..month</t>
  </si>
  <si>
    <t>This month's target   =&gt;</t>
  </si>
  <si>
    <t>Target</t>
  </si>
  <si>
    <t>accum</t>
  </si>
  <si>
    <t>day1 -1</t>
  </si>
  <si>
    <t>Month start day</t>
  </si>
  <si>
    <t>accum /m</t>
  </si>
  <si>
    <t xml:space="preserve"> to date</t>
  </si>
  <si>
    <t xml:space="preserve"> possible</t>
  </si>
  <si>
    <t>notes  and reminders</t>
  </si>
  <si>
    <t>prev mth</t>
  </si>
  <si>
    <t>total to date</t>
  </si>
  <si>
    <t>MILES</t>
  </si>
  <si>
    <t>month  target     =&gt;</t>
  </si>
  <si>
    <t>monthly target</t>
  </si>
  <si>
    <t>total below target</t>
  </si>
  <si>
    <t>total above target</t>
  </si>
  <si>
    <t>todays date</t>
  </si>
  <si>
    <t>total</t>
  </si>
  <si>
    <t>green</t>
  </si>
  <si>
    <t>red</t>
  </si>
  <si>
    <t>label total</t>
  </si>
  <si>
    <t>new target display</t>
  </si>
  <si>
    <t>new target months</t>
  </si>
  <si>
    <t>Target metres</t>
  </si>
  <si>
    <t>end of year</t>
  </si>
  <si>
    <t>Distance  this week :</t>
  </si>
  <si>
    <r>
      <t xml:space="preserve">Training Distance </t>
    </r>
    <r>
      <rPr>
        <b/>
        <sz val="10"/>
        <rFont val="Calibri"/>
        <family val="2"/>
        <scheme val="minor"/>
      </rPr>
      <t>YARDS</t>
    </r>
  </si>
  <si>
    <t>Training Distance MILES</t>
  </si>
  <si>
    <t>Training Distance METRES</t>
  </si>
  <si>
    <t>actually used</t>
  </si>
  <si>
    <t>To reach target:</t>
  </si>
  <si>
    <t>Forecast</t>
  </si>
  <si>
    <t>Total to date :</t>
  </si>
  <si>
    <t xml:space="preserve"> this month</t>
  </si>
  <si>
    <t>today</t>
  </si>
  <si>
    <t xml:space="preserve">     3.    METRES</t>
  </si>
  <si>
    <t xml:space="preserve">  2.   YARDS</t>
  </si>
  <si>
    <t xml:space="preserve"> 1.   MILES</t>
  </si>
  <si>
    <r>
      <rPr>
        <b/>
        <sz val="16"/>
        <color theme="1"/>
        <rFont val="Calibri"/>
        <family val="2"/>
        <scheme val="minor"/>
      </rPr>
      <t xml:space="preserve">Today's   </t>
    </r>
    <r>
      <rPr>
        <b/>
        <sz val="10"/>
        <color theme="1"/>
        <rFont val="Calibri"/>
        <family val="2"/>
        <scheme val="minor"/>
      </rPr>
      <t xml:space="preserve"> swims</t>
    </r>
  </si>
  <si>
    <r>
      <rPr>
        <b/>
        <sz val="16"/>
        <color theme="1"/>
        <rFont val="Calibri"/>
        <family val="2"/>
        <scheme val="minor"/>
      </rPr>
      <t xml:space="preserve">Display units                   </t>
    </r>
    <r>
      <rPr>
        <b/>
        <sz val="10"/>
        <color theme="1"/>
        <rFont val="Calibri"/>
        <family val="2"/>
        <scheme val="minor"/>
      </rPr>
      <t xml:space="preserve"> for ALL charts</t>
    </r>
  </si>
  <si>
    <t>month  total       =&gt;</t>
  </si>
  <si>
    <t>Feb.</t>
  </si>
  <si>
    <t>Jan.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</si>
  <si>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</si>
  <si>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</si>
  <si>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</si>
  <si>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</si>
  <si>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</si>
  <si>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</si>
  <si>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</si>
  <si>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</si>
  <si>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</si>
  <si>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</si>
  <si>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 xml:space="preserve">  target reset zone</t>
  </si>
  <si>
    <t>graphs</t>
  </si>
  <si>
    <t>formatting</t>
  </si>
  <si>
    <t>Daily average speed</t>
  </si>
  <si>
    <t>av speed x time</t>
  </si>
  <si>
    <t>TL hide</t>
  </si>
  <si>
    <t>TT hide</t>
  </si>
  <si>
    <t>average speed</t>
  </si>
  <si>
    <t>other</t>
  </si>
  <si>
    <t>Training location code</t>
  </si>
  <si>
    <r>
      <t>Training time in</t>
    </r>
    <r>
      <rPr>
        <b/>
        <sz val="14"/>
        <color theme="1"/>
        <rFont val="Calibri"/>
        <family val="2"/>
        <scheme val="minor"/>
      </rPr>
      <t xml:space="preserve"> mins</t>
    </r>
  </si>
  <si>
    <t>ranked</t>
  </si>
  <si>
    <t>Total Time</t>
  </si>
  <si>
    <t>SPEED</t>
  </si>
  <si>
    <t>TIME</t>
  </si>
  <si>
    <t>in each venue</t>
  </si>
  <si>
    <r>
      <t xml:space="preserve">WET TIME  </t>
    </r>
    <r>
      <rPr>
        <b/>
        <sz val="8"/>
        <color rgb="FF0000FF"/>
        <rFont val="Calibri"/>
        <family val="2"/>
        <scheme val="minor"/>
      </rPr>
      <t>d:hh:mm</t>
    </r>
  </si>
  <si>
    <t>this chart's units are in</t>
  </si>
  <si>
    <t>time total</t>
  </si>
  <si>
    <t>speed average</t>
  </si>
  <si>
    <t>dist total</t>
  </si>
  <si>
    <t xml:space="preserve"> (dd:hh:mm)</t>
  </si>
  <si>
    <t>distance</t>
  </si>
  <si>
    <t>time   /h</t>
  </si>
  <si>
    <t>Mon</t>
  </si>
  <si>
    <t>Tue</t>
  </si>
  <si>
    <t>Wed</t>
  </si>
  <si>
    <t>Thu</t>
  </si>
  <si>
    <t>Fri</t>
  </si>
  <si>
    <t>Sat</t>
  </si>
  <si>
    <t>Sun</t>
  </si>
  <si>
    <t>mph</t>
  </si>
  <si>
    <t>spare</t>
  </si>
  <si>
    <t>swims</t>
  </si>
  <si>
    <t xml:space="preserve">not </t>
  </si>
  <si>
    <t>timed</t>
  </si>
  <si>
    <t>NO TIMES</t>
  </si>
  <si>
    <t>TOTAL</t>
  </si>
  <si>
    <t xml:space="preserve">           1.MILES</t>
  </si>
  <si>
    <t xml:space="preserve">           2.YARDS</t>
  </si>
  <si>
    <t xml:space="preserve">          3.METERS</t>
  </si>
  <si>
    <t>To do only?</t>
  </si>
  <si>
    <t>and B2 DATE</t>
  </si>
  <si>
    <t>total wet time this year   : -   (dd:hh:mm)</t>
  </si>
  <si>
    <t>timed distance</t>
  </si>
  <si>
    <t>in</t>
  </si>
  <si>
    <r>
      <t>Jan</t>
    </r>
    <r>
      <rPr>
        <b/>
        <sz val="9"/>
        <color theme="0"/>
        <rFont val="Calibri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</si>
</sst>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d/m/yy;@"/>
    <numFmt numFmtId="165" formatCode="0.E+00"/>
    <numFmt numFmtId="166" formatCode="d;@"/>
    <numFmt numFmtId="167" formatCode="#,##0.0"/>
    <numFmt numFmtId="168" formatCode="0.0"/>
    <numFmt numFmtId="169" formatCode="d\.m\.yy;@"/>
    <numFmt numFmtId="170" formatCode="mmm\ d;@"/>
    <numFmt numFmtId="171" formatCode="#,##0.000"/>
    <numFmt numFmtId="172" formatCode="[&gt;=10]#,##0;[&lt;10]0.00"/>
    <numFmt numFmtId="173" formatCode="[&gt;=20]#,##0;[&lt;20]0.00"/>
    <numFmt numFmtId="174" formatCode="[&gt;=20]#,##0;[&lt;20]0.0"/>
    <numFmt numFmtId="175" formatCode="[&gt;=25]#,###;[&lt;25]0.0"/>
    <numFmt numFmtId="176" formatCode="0;[Red]0"/>
    <numFmt numFmtId="177" formatCode="d:hh:mm"/>
    <numFmt numFmtId="178" formatCode="dd:hh:mm"/>
    <numFmt numFmtId="179" formatCode="dd"/>
  </numFmts>
  <fonts count="10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357F4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20"/>
      <color rgb="FF006600"/>
      <name val="Calibri"/>
      <family val="2"/>
      <scheme val="minor"/>
    </font>
    <font>
      <sz val="20"/>
      <color rgb="FF006600"/>
      <name val="Calibri"/>
      <family val="2"/>
      <scheme val="minor"/>
    </font>
    <font>
      <b/>
      <sz val="20"/>
      <color rgb="FFC40000"/>
      <name val="Calibri"/>
      <family val="2"/>
      <scheme val="minor"/>
    </font>
    <font>
      <sz val="20"/>
      <color rgb="FFC40000"/>
      <name val="Calibri"/>
      <family val="2"/>
      <scheme val="minor"/>
    </font>
    <font>
      <b/>
      <sz val="48"/>
      <color rgb="FFC40000"/>
      <name val="Calibri"/>
      <family val="2"/>
      <scheme val="minor"/>
    </font>
    <font>
      <sz val="48"/>
      <color rgb="FFC40000"/>
      <name val="Calibri"/>
      <family val="2"/>
      <scheme val="minor"/>
    </font>
    <font>
      <b/>
      <sz val="2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28"/>
      <color rgb="FF5F2987"/>
      <name val="Calibri"/>
      <family val="2"/>
      <scheme val="minor"/>
    </font>
    <font>
      <b/>
      <sz val="11"/>
      <color rgb="FF61298B"/>
      <name val="Calibri"/>
      <family val="2"/>
      <scheme val="minor"/>
    </font>
    <font>
      <b/>
      <sz val="22"/>
      <color rgb="FF4A1F6B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rgb="FF007033"/>
      <name val="Calibri"/>
      <family val="2"/>
      <scheme val="minor"/>
    </font>
    <font>
      <b/>
      <sz val="18"/>
      <color rgb="FF00703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26"/>
      <color rgb="FFCA5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color rgb="FF000090"/>
      <name val="Calibri"/>
      <family val="2"/>
      <scheme val="minor"/>
    </font>
    <font>
      <b/>
      <sz val="14"/>
      <color rgb="FF000090"/>
      <name val="Calibri"/>
      <family val="2"/>
      <scheme val="minor"/>
    </font>
    <font>
      <sz val="16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20"/>
      <color rgb="FF000090"/>
      <name val="Calibri"/>
      <family val="2"/>
      <scheme val="minor"/>
    </font>
    <font>
      <b/>
      <sz val="18"/>
      <color rgb="FF000090"/>
      <name val="Calibri"/>
      <family val="2"/>
      <scheme val="minor"/>
    </font>
    <font>
      <b/>
      <sz val="12"/>
      <color rgb="FF00009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rgb="FF000090"/>
      <name val="Calibri"/>
      <family val="2"/>
      <scheme val="minor"/>
    </font>
    <font>
      <b/>
      <sz val="13"/>
      <color rgb="FF008000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5"/>
      <color rgb="FFFF6600"/>
      <name val="Calibri"/>
      <family val="2"/>
      <scheme val="minor"/>
    </font>
    <font>
      <b/>
      <sz val="15"/>
      <color rgb="FF00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3"/>
      <color rgb="FF0000FF"/>
      <name val="Calibri"/>
      <family val="2"/>
      <scheme val="minor"/>
    </font>
    <font>
      <sz val="15"/>
      <color rgb="FF0000FF"/>
      <name val="Calibri"/>
      <family val="2"/>
      <scheme val="minor"/>
    </font>
    <font>
      <i/>
      <sz val="12"/>
      <color rgb="FF000090"/>
      <name val="Cambria"/>
      <family val="1"/>
      <scheme val="major"/>
    </font>
    <font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0"/>
      <color rgb="FF007033"/>
      <name val="Calibri"/>
      <family val="2"/>
      <scheme val="minor"/>
    </font>
    <font>
      <sz val="20"/>
      <color rgb="FF007033"/>
      <name val="Calibri"/>
      <family val="2"/>
      <scheme val="minor"/>
    </font>
    <font>
      <b/>
      <sz val="22"/>
      <color rgb="FFFFFF00"/>
      <name val="Calibri"/>
      <family val="2"/>
      <scheme val="minor"/>
    </font>
    <font>
      <sz val="13"/>
      <color rgb="FF000090"/>
      <name val="Calibri"/>
      <family val="2"/>
      <scheme val="minor"/>
    </font>
    <font>
      <b/>
      <sz val="18"/>
      <name val="Calibri"/>
      <family val="2"/>
      <scheme val="minor"/>
    </font>
    <font>
      <b/>
      <sz val="24"/>
      <color theme="1"/>
      <name val="Calibri"/>
      <scheme val="minor"/>
    </font>
    <font>
      <b/>
      <sz val="32"/>
      <color rgb="FF204477"/>
      <name val="Calibri"/>
      <scheme val="minor"/>
    </font>
    <font>
      <b/>
      <sz val="30"/>
      <color theme="1"/>
      <name val="Calibri"/>
      <scheme val="minor"/>
    </font>
    <font>
      <b/>
      <sz val="24"/>
      <color rgb="FF008000"/>
      <name val="Calibri"/>
      <scheme val="minor"/>
    </font>
    <font>
      <sz val="24"/>
      <color rgb="FF008000"/>
      <name val="Calibri"/>
      <scheme val="minor"/>
    </font>
    <font>
      <b/>
      <sz val="16"/>
      <color rgb="FFFFFF00"/>
      <name val="Calibri"/>
      <scheme val="minor"/>
    </font>
    <font>
      <b/>
      <sz val="9"/>
      <color theme="0"/>
      <name val="Calibri"/>
      <scheme val="minor"/>
    </font>
    <font>
      <b/>
      <sz val="45"/>
      <color rgb="FF006600"/>
      <name val="Calibri"/>
      <scheme val="minor"/>
    </font>
    <font>
      <sz val="45"/>
      <color rgb="FF006600"/>
      <name val="Calibri"/>
      <scheme val="minor"/>
    </font>
    <font>
      <sz val="45"/>
      <color theme="1"/>
      <name val="Calibri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5DD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CFF84"/>
        <bgColor indexed="64"/>
      </patternFill>
    </fill>
    <fill>
      <patternFill patternType="solid">
        <fgColor rgb="FFF1FF9B"/>
        <bgColor indexed="64"/>
      </patternFill>
    </fill>
    <fill>
      <patternFill patternType="solid">
        <fgColor rgb="FFD1FFF6"/>
        <bgColor indexed="64"/>
      </patternFill>
    </fill>
    <fill>
      <patternFill patternType="solid">
        <fgColor rgb="FFF9FFA8"/>
        <bgColor indexed="64"/>
      </patternFill>
    </fill>
    <fill>
      <patternFill patternType="solid">
        <fgColor theme="0" tint="-0.499984740745262"/>
        <bgColor indexed="64"/>
      </patternFill>
    </fill>
  </fills>
  <borders count="1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ck">
        <color auto="1"/>
      </right>
      <top style="dotted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</borders>
  <cellStyleXfs count="862">
    <xf numFmtId="0" fontId="0" fillId="0" borderId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59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0" fillId="0" borderId="0" xfId="0" applyProtection="1"/>
    <xf numFmtId="164" fontId="1" fillId="2" borderId="0" xfId="0" applyNumberFormat="1" applyFont="1" applyFill="1" applyAlignment="1" applyProtection="1">
      <alignment horizontal="center"/>
    </xf>
    <xf numFmtId="1" fontId="0" fillId="2" borderId="2" xfId="0" applyNumberFormat="1" applyFill="1" applyBorder="1" applyAlignment="1" applyProtection="1">
      <alignment horizontal="center"/>
    </xf>
    <xf numFmtId="3" fontId="0" fillId="3" borderId="10" xfId="0" applyNumberForma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0" xfId="0" applyAlignment="1" applyProtection="1">
      <alignment horizontal="center" wrapText="1"/>
    </xf>
    <xf numFmtId="3" fontId="1" fillId="2" borderId="0" xfId="0" applyNumberFormat="1" applyFont="1" applyFill="1" applyBorder="1" applyAlignment="1" applyProtection="1">
      <alignment horizontal="center"/>
    </xf>
    <xf numFmtId="14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165" fontId="0" fillId="0" borderId="0" xfId="0" applyNumberFormat="1" applyProtection="1"/>
    <xf numFmtId="0" fontId="0" fillId="3" borderId="13" xfId="0" applyFill="1" applyBorder="1" applyProtection="1"/>
    <xf numFmtId="0" fontId="0" fillId="3" borderId="15" xfId="0" applyFill="1" applyBorder="1" applyAlignment="1" applyProtection="1">
      <alignment horizontal="right"/>
    </xf>
    <xf numFmtId="0" fontId="1" fillId="4" borderId="6" xfId="0" applyFont="1" applyFill="1" applyBorder="1" applyAlignment="1" applyProtection="1">
      <alignment horizontal="right"/>
    </xf>
    <xf numFmtId="3" fontId="1" fillId="8" borderId="6" xfId="0" applyNumberFormat="1" applyFont="1" applyFill="1" applyBorder="1" applyAlignment="1" applyProtection="1">
      <alignment horizontal="center"/>
    </xf>
    <xf numFmtId="3" fontId="1" fillId="8" borderId="7" xfId="0" applyNumberFormat="1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horizontal="right"/>
    </xf>
    <xf numFmtId="0" fontId="0" fillId="2" borderId="18" xfId="0" applyFill="1" applyBorder="1" applyAlignment="1" applyProtection="1">
      <alignment horizontal="center"/>
    </xf>
    <xf numFmtId="1" fontId="0" fillId="2" borderId="26" xfId="0" applyNumberFormat="1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164" fontId="0" fillId="13" borderId="0" xfId="0" applyNumberFormat="1" applyFill="1" applyAlignment="1" applyProtection="1">
      <alignment horizontal="center" shrinkToFit="1"/>
    </xf>
    <xf numFmtId="0" fontId="1" fillId="2" borderId="25" xfId="0" applyFont="1" applyFill="1" applyBorder="1" applyProtection="1"/>
    <xf numFmtId="0" fontId="1" fillId="2" borderId="28" xfId="0" applyFont="1" applyFill="1" applyBorder="1" applyProtection="1"/>
    <xf numFmtId="0" fontId="1" fillId="3" borderId="14" xfId="0" applyFont="1" applyFill="1" applyBorder="1" applyAlignment="1" applyProtection="1">
      <alignment horizontal="right"/>
    </xf>
    <xf numFmtId="0" fontId="1" fillId="3" borderId="12" xfId="0" applyFont="1" applyFill="1" applyBorder="1" applyProtection="1"/>
    <xf numFmtId="0" fontId="1" fillId="4" borderId="5" xfId="0" applyFont="1" applyFill="1" applyBorder="1" applyProtection="1"/>
    <xf numFmtId="0" fontId="1" fillId="5" borderId="8" xfId="0" applyFont="1" applyFill="1" applyBorder="1" applyProtection="1"/>
    <xf numFmtId="0" fontId="0" fillId="0" borderId="0" xfId="0" applyNumberFormat="1" applyFill="1" applyBorder="1" applyAlignment="1" applyProtection="1">
      <alignment horizontal="center" wrapText="1"/>
    </xf>
    <xf numFmtId="3" fontId="8" fillId="0" borderId="0" xfId="0" applyNumberFormat="1" applyFont="1" applyFill="1" applyBorder="1" applyAlignment="1" applyProtection="1">
      <alignment horizontal="center" vertical="center" wrapText="1"/>
    </xf>
    <xf numFmtId="0" fontId="0" fillId="10" borderId="38" xfId="0" applyFill="1" applyBorder="1" applyAlignment="1" applyProtection="1">
      <alignment horizontal="center" vertical="center"/>
    </xf>
    <xf numFmtId="0" fontId="0" fillId="9" borderId="33" xfId="0" applyFill="1" applyBorder="1" applyAlignment="1" applyProtection="1">
      <alignment horizontal="center" vertical="center"/>
    </xf>
    <xf numFmtId="0" fontId="0" fillId="11" borderId="38" xfId="0" applyFill="1" applyBorder="1" applyAlignment="1" applyProtection="1">
      <alignment horizontal="center" vertical="center"/>
    </xf>
    <xf numFmtId="166" fontId="1" fillId="2" borderId="26" xfId="0" applyNumberFormat="1" applyFont="1" applyFill="1" applyBorder="1" applyAlignment="1" applyProtection="1">
      <alignment horizontal="center"/>
    </xf>
    <xf numFmtId="166" fontId="1" fillId="2" borderId="2" xfId="0" applyNumberFormat="1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right"/>
    </xf>
    <xf numFmtId="166" fontId="1" fillId="2" borderId="18" xfId="0" applyNumberFormat="1" applyFont="1" applyFill="1" applyBorder="1" applyAlignment="1" applyProtection="1">
      <alignment horizontal="center"/>
    </xf>
    <xf numFmtId="166" fontId="1" fillId="2" borderId="4" xfId="0" applyNumberFormat="1" applyFont="1" applyFill="1" applyBorder="1" applyAlignment="1" applyProtection="1">
      <alignment horizontal="center"/>
    </xf>
    <xf numFmtId="0" fontId="1" fillId="3" borderId="22" xfId="0" applyFont="1" applyFill="1" applyBorder="1" applyProtection="1"/>
    <xf numFmtId="0" fontId="1" fillId="4" borderId="6" xfId="0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horizontal="center"/>
    </xf>
    <xf numFmtId="164" fontId="1" fillId="13" borderId="0" xfId="0" applyNumberFormat="1" applyFont="1" applyFill="1" applyBorder="1" applyAlignment="1" applyProtection="1">
      <alignment horizontal="center" shrinkToFit="1"/>
    </xf>
    <xf numFmtId="164" fontId="1" fillId="2" borderId="0" xfId="0" applyNumberFormat="1" applyFont="1" applyFill="1" applyBorder="1" applyAlignment="1" applyProtection="1">
      <alignment horizontal="center"/>
    </xf>
    <xf numFmtId="167" fontId="0" fillId="5" borderId="9" xfId="0" applyNumberFormat="1" applyFont="1" applyFill="1" applyBorder="1" applyAlignment="1" applyProtection="1">
      <alignment horizontal="center"/>
    </xf>
    <xf numFmtId="3" fontId="0" fillId="5" borderId="9" xfId="0" applyNumberFormat="1" applyFont="1" applyFill="1" applyBorder="1" applyAlignment="1" applyProtection="1">
      <alignment horizontal="center"/>
    </xf>
    <xf numFmtId="3" fontId="0" fillId="2" borderId="0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shrinkToFit="1"/>
    </xf>
    <xf numFmtId="0" fontId="13" fillId="2" borderId="36" xfId="0" applyFont="1" applyFill="1" applyBorder="1" applyAlignment="1" applyProtection="1">
      <alignment horizontal="center" vertical="center" shrinkToFit="1"/>
    </xf>
    <xf numFmtId="1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167" fontId="0" fillId="0" borderId="43" xfId="0" applyNumberFormat="1" applyFill="1" applyBorder="1" applyAlignment="1" applyProtection="1">
      <alignment horizontal="center"/>
      <protection locked="0"/>
    </xf>
    <xf numFmtId="3" fontId="0" fillId="0" borderId="43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</xf>
    <xf numFmtId="0" fontId="1" fillId="0" borderId="35" xfId="0" applyFont="1" applyBorder="1" applyProtection="1"/>
    <xf numFmtId="167" fontId="1" fillId="8" borderId="6" xfId="0" applyNumberFormat="1" applyFont="1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167" fontId="0" fillId="3" borderId="9" xfId="0" applyNumberFormat="1" applyFont="1" applyFill="1" applyBorder="1" applyAlignment="1" applyProtection="1">
      <alignment horizontal="center" vertical="center"/>
    </xf>
    <xf numFmtId="3" fontId="0" fillId="3" borderId="9" xfId="0" applyNumberForma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wrapText="1"/>
    </xf>
    <xf numFmtId="1" fontId="1" fillId="2" borderId="0" xfId="0" applyNumberFormat="1" applyFont="1" applyFill="1" applyAlignment="1" applyProtection="1">
      <alignment horizontal="center" shrinkToFit="1"/>
    </xf>
    <xf numFmtId="3" fontId="1" fillId="2" borderId="0" xfId="0" applyNumberFormat="1" applyFont="1" applyFill="1" applyAlignment="1" applyProtection="1">
      <alignment horizontal="center" shrinkToFit="1"/>
    </xf>
    <xf numFmtId="0" fontId="4" fillId="11" borderId="53" xfId="0" applyFont="1" applyFill="1" applyBorder="1" applyAlignment="1" applyProtection="1">
      <alignment horizontal="center" vertical="center" shrinkToFit="1"/>
    </xf>
    <xf numFmtId="0" fontId="12" fillId="10" borderId="51" xfId="0" applyFont="1" applyFill="1" applyBorder="1" applyAlignment="1" applyProtection="1">
      <alignment horizontal="center" vertical="center" shrinkToFit="1"/>
    </xf>
    <xf numFmtId="0" fontId="23" fillId="9" borderId="52" xfId="0" applyFont="1" applyFill="1" applyBorder="1" applyAlignment="1" applyProtection="1">
      <alignment horizontal="center" vertical="center" shrinkToFit="1"/>
    </xf>
    <xf numFmtId="0" fontId="22" fillId="14" borderId="37" xfId="0" applyFont="1" applyFill="1" applyBorder="1" applyAlignment="1" applyProtection="1">
      <alignment horizontal="center" vertical="center"/>
    </xf>
    <xf numFmtId="0" fontId="1" fillId="4" borderId="54" xfId="0" applyFont="1" applyFill="1" applyBorder="1" applyAlignment="1" applyProtection="1">
      <alignment horizontal="center"/>
    </xf>
    <xf numFmtId="0" fontId="1" fillId="4" borderId="54" xfId="0" applyFont="1" applyFill="1" applyBorder="1" applyAlignment="1" applyProtection="1">
      <alignment horizontal="right"/>
    </xf>
    <xf numFmtId="0" fontId="1" fillId="5" borderId="54" xfId="0" applyFont="1" applyFill="1" applyBorder="1" applyAlignment="1" applyProtection="1">
      <alignment horizontal="center"/>
    </xf>
    <xf numFmtId="0" fontId="1" fillId="5" borderId="54" xfId="0" applyFont="1" applyFill="1" applyBorder="1" applyAlignment="1" applyProtection="1">
      <alignment horizontal="right"/>
    </xf>
    <xf numFmtId="167" fontId="0" fillId="5" borderId="54" xfId="0" applyNumberFormat="1" applyFont="1" applyFill="1" applyBorder="1" applyAlignment="1" applyProtection="1">
      <alignment horizontal="center"/>
    </xf>
    <xf numFmtId="3" fontId="0" fillId="5" borderId="54" xfId="0" applyNumberFormat="1" applyFont="1" applyFill="1" applyBorder="1" applyAlignment="1" applyProtection="1">
      <alignment horizontal="center"/>
    </xf>
    <xf numFmtId="0" fontId="1" fillId="4" borderId="56" xfId="0" applyFont="1" applyFill="1" applyBorder="1" applyAlignment="1" applyProtection="1">
      <alignment horizontal="right"/>
    </xf>
    <xf numFmtId="0" fontId="1" fillId="4" borderId="46" xfId="0" applyFont="1" applyFill="1" applyBorder="1" applyAlignment="1" applyProtection="1">
      <alignment horizontal="center"/>
    </xf>
    <xf numFmtId="0" fontId="1" fillId="4" borderId="57" xfId="0" applyFont="1" applyFill="1" applyBorder="1" applyAlignment="1" applyProtection="1">
      <alignment horizontal="center"/>
    </xf>
    <xf numFmtId="0" fontId="1" fillId="5" borderId="56" xfId="0" applyFont="1" applyFill="1" applyBorder="1" applyAlignment="1" applyProtection="1">
      <alignment horizontal="right"/>
    </xf>
    <xf numFmtId="0" fontId="1" fillId="5" borderId="46" xfId="0" applyFont="1" applyFill="1" applyBorder="1" applyAlignment="1" applyProtection="1">
      <alignment horizontal="center"/>
    </xf>
    <xf numFmtId="0" fontId="1" fillId="5" borderId="57" xfId="0" applyFont="1" applyFill="1" applyBorder="1" applyAlignment="1" applyProtection="1">
      <alignment horizontal="center"/>
    </xf>
    <xf numFmtId="3" fontId="24" fillId="9" borderId="48" xfId="0" applyNumberFormat="1" applyFont="1" applyFill="1" applyBorder="1" applyAlignment="1" applyProtection="1">
      <alignment horizontal="center" vertical="center" shrinkToFit="1"/>
    </xf>
    <xf numFmtId="3" fontId="24" fillId="11" borderId="14" xfId="0" applyNumberFormat="1" applyFont="1" applyFill="1" applyBorder="1" applyAlignment="1" applyProtection="1">
      <alignment horizontal="center" vertical="center" shrinkToFit="1"/>
    </xf>
    <xf numFmtId="168" fontId="24" fillId="10" borderId="49" xfId="0" applyNumberFormat="1" applyFont="1" applyFill="1" applyBorder="1" applyAlignment="1" applyProtection="1">
      <alignment horizontal="center" vertical="center" shrinkToFit="1"/>
    </xf>
    <xf numFmtId="3" fontId="24" fillId="9" borderId="50" xfId="0" applyNumberFormat="1" applyFont="1" applyFill="1" applyBorder="1" applyAlignment="1" applyProtection="1">
      <alignment horizontal="center" vertical="center" shrinkToFit="1"/>
    </xf>
    <xf numFmtId="3" fontId="24" fillId="11" borderId="16" xfId="0" applyNumberFormat="1" applyFont="1" applyFill="1" applyBorder="1" applyAlignment="1" applyProtection="1">
      <alignment horizontal="center" vertical="center" shrinkToFit="1"/>
    </xf>
    <xf numFmtId="167" fontId="0" fillId="8" borderId="6" xfId="0" applyNumberFormat="1" applyFont="1" applyFill="1" applyBorder="1" applyAlignment="1" applyProtection="1">
      <alignment horizontal="center"/>
    </xf>
    <xf numFmtId="3" fontId="0" fillId="8" borderId="6" xfId="0" applyNumberFormat="1" applyFont="1" applyFill="1" applyBorder="1" applyAlignment="1" applyProtection="1">
      <alignment horizontal="center"/>
    </xf>
    <xf numFmtId="167" fontId="0" fillId="8" borderId="54" xfId="0" applyNumberFormat="1" applyFont="1" applyFill="1" applyBorder="1" applyAlignment="1" applyProtection="1">
      <alignment horizontal="center"/>
    </xf>
    <xf numFmtId="3" fontId="0" fillId="8" borderId="54" xfId="0" applyNumberFormat="1" applyFont="1" applyFill="1" applyBorder="1" applyAlignment="1" applyProtection="1">
      <alignment horizontal="center"/>
    </xf>
    <xf numFmtId="3" fontId="0" fillId="8" borderId="55" xfId="0" applyNumberFormat="1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 wrapText="1"/>
    </xf>
    <xf numFmtId="167" fontId="24" fillId="10" borderId="47" xfId="0" applyNumberFormat="1" applyFont="1" applyFill="1" applyBorder="1" applyAlignment="1" applyProtection="1">
      <alignment horizontal="center" vertical="center" shrinkToFit="1"/>
    </xf>
    <xf numFmtId="0" fontId="1" fillId="2" borderId="0" xfId="0" applyFont="1" applyFill="1" applyAlignment="1" applyProtection="1">
      <alignment horizontal="center" wrapText="1"/>
    </xf>
    <xf numFmtId="169" fontId="1" fillId="2" borderId="0" xfId="0" applyNumberFormat="1" applyFont="1" applyFill="1" applyAlignment="1" applyProtection="1">
      <alignment horizontal="center" vertical="center"/>
    </xf>
    <xf numFmtId="0" fontId="29" fillId="0" borderId="0" xfId="0" applyFont="1" applyProtection="1"/>
    <xf numFmtId="0" fontId="29" fillId="0" borderId="0" xfId="0" applyFont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wrapText="1"/>
    </xf>
    <xf numFmtId="0" fontId="28" fillId="0" borderId="0" xfId="0" applyFont="1" applyProtection="1"/>
    <xf numFmtId="3" fontId="24" fillId="9" borderId="39" xfId="0" applyNumberFormat="1" applyFont="1" applyFill="1" applyBorder="1" applyAlignment="1" applyProtection="1">
      <alignment horizontal="center" vertical="center" shrinkToFit="1"/>
    </xf>
    <xf numFmtId="0" fontId="9" fillId="18" borderId="0" xfId="0" applyFont="1" applyFill="1" applyBorder="1" applyAlignment="1" applyProtection="1">
      <alignment horizontal="right" vertical="center" wrapText="1"/>
    </xf>
    <xf numFmtId="0" fontId="4" fillId="18" borderId="0" xfId="0" applyFont="1" applyFill="1" applyBorder="1" applyAlignment="1" applyProtection="1">
      <alignment horizontal="center" vertical="center" wrapText="1"/>
    </xf>
    <xf numFmtId="0" fontId="4" fillId="18" borderId="0" xfId="0" applyFont="1" applyFill="1" applyBorder="1" applyAlignment="1" applyProtection="1">
      <alignment horizontal="left" vertical="center" wrapText="1"/>
    </xf>
    <xf numFmtId="0" fontId="0" fillId="18" borderId="0" xfId="0" applyFill="1" applyBorder="1" applyProtection="1"/>
    <xf numFmtId="0" fontId="4" fillId="18" borderId="0" xfId="0" applyFont="1" applyFill="1" applyBorder="1" applyAlignment="1" applyProtection="1">
      <alignment horizontal="right" vertical="center"/>
    </xf>
    <xf numFmtId="0" fontId="4" fillId="18" borderId="0" xfId="0" applyFont="1" applyFill="1" applyBorder="1" applyAlignment="1" applyProtection="1">
      <alignment vertical="center"/>
    </xf>
    <xf numFmtId="0" fontId="0" fillId="18" borderId="0" xfId="0" applyFill="1" applyBorder="1" applyAlignment="1" applyProtection="1">
      <alignment horizontal="center"/>
    </xf>
    <xf numFmtId="0" fontId="0" fillId="18" borderId="0" xfId="0" applyFill="1" applyBorder="1" applyAlignment="1" applyProtection="1">
      <alignment horizontal="center" vertical="center"/>
    </xf>
    <xf numFmtId="0" fontId="0" fillId="18" borderId="0" xfId="0" applyFill="1" applyBorder="1" applyAlignment="1" applyProtection="1">
      <alignment horizontal="center" vertical="top"/>
    </xf>
    <xf numFmtId="0" fontId="0" fillId="18" borderId="35" xfId="0" applyFill="1" applyBorder="1" applyProtection="1"/>
    <xf numFmtId="3" fontId="24" fillId="11" borderId="62" xfId="0" applyNumberFormat="1" applyFont="1" applyFill="1" applyBorder="1" applyAlignment="1" applyProtection="1">
      <alignment horizontal="center" vertical="center" shrinkToFit="1"/>
    </xf>
    <xf numFmtId="0" fontId="0" fillId="3" borderId="19" xfId="0" applyFill="1" applyBorder="1" applyAlignment="1" applyProtection="1">
      <alignment horizontal="right"/>
    </xf>
    <xf numFmtId="0" fontId="0" fillId="2" borderId="24" xfId="0" applyFill="1" applyBorder="1" applyAlignment="1" applyProtection="1">
      <alignment horizontal="center"/>
    </xf>
    <xf numFmtId="0" fontId="0" fillId="2" borderId="27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right"/>
    </xf>
    <xf numFmtId="0" fontId="0" fillId="2" borderId="43" xfId="0" applyFill="1" applyBorder="1" applyAlignment="1" applyProtection="1">
      <alignment horizontal="center"/>
    </xf>
    <xf numFmtId="0" fontId="0" fillId="2" borderId="44" xfId="0" applyFill="1" applyBorder="1" applyAlignment="1" applyProtection="1">
      <alignment horizontal="center"/>
    </xf>
    <xf numFmtId="0" fontId="3" fillId="14" borderId="64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/>
    </xf>
    <xf numFmtId="2" fontId="24" fillId="10" borderId="61" xfId="0" applyNumberFormat="1" applyFont="1" applyFill="1" applyBorder="1" applyAlignment="1" applyProtection="1">
      <alignment horizontal="center" vertical="center" shrinkToFit="1"/>
    </xf>
    <xf numFmtId="0" fontId="42" fillId="12" borderId="32" xfId="0" applyFont="1" applyFill="1" applyBorder="1" applyAlignment="1" applyProtection="1">
      <alignment horizontal="left" vertical="center" wrapText="1" indent="1"/>
    </xf>
    <xf numFmtId="0" fontId="0" fillId="12" borderId="32" xfId="0" applyFill="1" applyBorder="1" applyProtection="1"/>
    <xf numFmtId="0" fontId="0" fillId="12" borderId="0" xfId="0" applyFill="1" applyBorder="1" applyProtection="1"/>
    <xf numFmtId="0" fontId="43" fillId="12" borderId="0" xfId="0" applyFont="1" applyFill="1" applyBorder="1" applyAlignment="1" applyProtection="1">
      <alignment horizontal="center" vertical="center"/>
    </xf>
    <xf numFmtId="0" fontId="43" fillId="12" borderId="33" xfId="0" applyFont="1" applyFill="1" applyBorder="1" applyAlignment="1" applyProtection="1">
      <alignment horizontal="center" vertical="center"/>
    </xf>
    <xf numFmtId="0" fontId="46" fillId="2" borderId="20" xfId="0" applyFont="1" applyFill="1" applyBorder="1" applyAlignment="1" applyProtection="1">
      <alignment horizontal="center" vertical="center" wrapText="1"/>
    </xf>
    <xf numFmtId="3" fontId="0" fillId="0" borderId="3" xfId="0" applyNumberFormat="1" applyFill="1" applyBorder="1" applyAlignment="1" applyProtection="1">
      <alignment horizontal="center"/>
      <protection locked="0"/>
    </xf>
    <xf numFmtId="3" fontId="1" fillId="8" borderId="19" xfId="0" applyNumberFormat="1" applyFont="1" applyFill="1" applyBorder="1" applyAlignment="1" applyProtection="1">
      <alignment horizontal="center"/>
    </xf>
    <xf numFmtId="3" fontId="0" fillId="3" borderId="75" xfId="0" applyNumberFormat="1" applyFill="1" applyBorder="1" applyAlignment="1" applyProtection="1">
      <alignment horizontal="center"/>
    </xf>
    <xf numFmtId="3" fontId="0" fillId="3" borderId="20" xfId="0" applyNumberFormat="1" applyFill="1" applyBorder="1" applyAlignment="1" applyProtection="1">
      <alignment horizontal="center"/>
    </xf>
    <xf numFmtId="3" fontId="0" fillId="8" borderId="19" xfId="0" applyNumberFormat="1" applyFont="1" applyFill="1" applyBorder="1" applyAlignment="1" applyProtection="1">
      <alignment horizontal="center"/>
    </xf>
    <xf numFmtId="3" fontId="0" fillId="5" borderId="20" xfId="0" applyNumberFormat="1" applyFont="1" applyFill="1" applyBorder="1" applyAlignment="1" applyProtection="1">
      <alignment horizontal="center"/>
    </xf>
    <xf numFmtId="3" fontId="0" fillId="5" borderId="76" xfId="0" applyNumberFormat="1" applyFont="1" applyFill="1" applyBorder="1" applyAlignment="1" applyProtection="1">
      <alignment horizontal="center"/>
    </xf>
    <xf numFmtId="3" fontId="1" fillId="22" borderId="77" xfId="0" applyNumberFormat="1" applyFont="1" applyFill="1" applyBorder="1" applyAlignment="1" applyProtection="1">
      <alignment horizontal="center"/>
    </xf>
    <xf numFmtId="3" fontId="0" fillId="22" borderId="77" xfId="0" applyNumberFormat="1" applyFill="1" applyBorder="1" applyAlignment="1" applyProtection="1">
      <alignment horizontal="center"/>
    </xf>
    <xf numFmtId="3" fontId="1" fillId="22" borderId="65" xfId="0" applyNumberFormat="1" applyFont="1" applyFill="1" applyBorder="1" applyAlignment="1" applyProtection="1">
      <alignment horizontal="center"/>
    </xf>
    <xf numFmtId="3" fontId="0" fillId="22" borderId="79" xfId="0" applyNumberFormat="1" applyFont="1" applyFill="1" applyBorder="1" applyAlignment="1" applyProtection="1">
      <alignment horizontal="center"/>
    </xf>
    <xf numFmtId="3" fontId="0" fillId="22" borderId="11" xfId="0" applyNumberFormat="1" applyFont="1" applyFill="1" applyBorder="1" applyAlignment="1" applyProtection="1">
      <alignment horizontal="center"/>
    </xf>
    <xf numFmtId="3" fontId="0" fillId="22" borderId="77" xfId="0" applyNumberFormat="1" applyFont="1" applyFill="1" applyBorder="1" applyAlignment="1" applyProtection="1">
      <alignment horizontal="center"/>
    </xf>
    <xf numFmtId="0" fontId="11" fillId="2" borderId="42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44" fillId="12" borderId="0" xfId="0" applyFont="1" applyFill="1" applyBorder="1" applyAlignment="1" applyProtection="1">
      <alignment horizontal="center" vertical="center" wrapText="1"/>
    </xf>
    <xf numFmtId="0" fontId="51" fillId="10" borderId="77" xfId="0" applyFont="1" applyFill="1" applyBorder="1" applyAlignment="1" applyProtection="1">
      <alignment horizontal="center" vertical="center"/>
    </xf>
    <xf numFmtId="3" fontId="10" fillId="2" borderId="66" xfId="0" applyNumberFormat="1" applyFont="1" applyFill="1" applyBorder="1" applyAlignment="1" applyProtection="1">
      <alignment horizontal="center"/>
    </xf>
    <xf numFmtId="0" fontId="52" fillId="10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/>
    </xf>
    <xf numFmtId="172" fontId="48" fillId="10" borderId="42" xfId="0" applyNumberFormat="1" applyFont="1" applyFill="1" applyBorder="1" applyAlignment="1" applyProtection="1">
      <alignment horizontal="center" vertical="top" shrinkToFit="1"/>
    </xf>
    <xf numFmtId="172" fontId="41" fillId="10" borderId="75" xfId="0" applyNumberFormat="1" applyFont="1" applyFill="1" applyBorder="1" applyAlignment="1" applyProtection="1">
      <alignment horizontal="center" vertical="top" shrinkToFit="1"/>
    </xf>
    <xf numFmtId="3" fontId="1" fillId="22" borderId="3" xfId="0" applyNumberFormat="1" applyFont="1" applyFill="1" applyBorder="1" applyAlignment="1" applyProtection="1">
      <alignment horizontal="center"/>
    </xf>
    <xf numFmtId="3" fontId="0" fillId="22" borderId="3" xfId="0" applyNumberFormat="1" applyFill="1" applyBorder="1" applyAlignment="1" applyProtection="1">
      <alignment horizontal="center"/>
    </xf>
    <xf numFmtId="3" fontId="0" fillId="18" borderId="3" xfId="0" applyNumberFormat="1" applyFill="1" applyBorder="1" applyAlignment="1" applyProtection="1">
      <alignment horizontal="center"/>
      <protection locked="0"/>
    </xf>
    <xf numFmtId="0" fontId="0" fillId="16" borderId="87" xfId="0" applyFill="1" applyBorder="1" applyProtection="1"/>
    <xf numFmtId="0" fontId="0" fillId="16" borderId="88" xfId="0" applyFill="1" applyBorder="1" applyProtection="1"/>
    <xf numFmtId="0" fontId="0" fillId="16" borderId="89" xfId="0" applyFill="1" applyBorder="1" applyProtection="1"/>
    <xf numFmtId="3" fontId="10" fillId="21" borderId="90" xfId="0" applyNumberFormat="1" applyFont="1" applyFill="1" applyBorder="1" applyAlignment="1" applyProtection="1">
      <alignment horizontal="center" vertical="center"/>
    </xf>
    <xf numFmtId="3" fontId="1" fillId="21" borderId="91" xfId="0" applyNumberFormat="1" applyFont="1" applyFill="1" applyBorder="1" applyAlignment="1" applyProtection="1">
      <alignment horizontal="center" vertical="center"/>
    </xf>
    <xf numFmtId="3" fontId="10" fillId="21" borderId="92" xfId="0" applyNumberFormat="1" applyFont="1" applyFill="1" applyBorder="1" applyAlignment="1" applyProtection="1">
      <alignment horizontal="center" vertical="center"/>
    </xf>
    <xf numFmtId="3" fontId="1" fillId="21" borderId="1" xfId="0" applyNumberFormat="1" applyFont="1" applyFill="1" applyBorder="1" applyAlignment="1" applyProtection="1">
      <alignment horizontal="center" vertical="center"/>
    </xf>
    <xf numFmtId="0" fontId="59" fillId="16" borderId="92" xfId="0" applyFont="1" applyFill="1" applyBorder="1" applyAlignment="1" applyProtection="1">
      <alignment horizontal="center" vertical="center"/>
    </xf>
    <xf numFmtId="0" fontId="54" fillId="16" borderId="1" xfId="0" applyFont="1" applyFill="1" applyBorder="1" applyAlignment="1" applyProtection="1">
      <alignment horizontal="center" vertical="center"/>
    </xf>
    <xf numFmtId="3" fontId="10" fillId="16" borderId="8" xfId="0" applyNumberFormat="1" applyFont="1" applyFill="1" applyBorder="1" applyAlignment="1" applyProtection="1">
      <alignment horizontal="center" vertical="center"/>
    </xf>
    <xf numFmtId="3" fontId="11" fillId="16" borderId="9" xfId="0" applyNumberFormat="1" applyFont="1" applyFill="1" applyBorder="1" applyAlignment="1" applyProtection="1">
      <alignment horizontal="center" vertical="center"/>
    </xf>
    <xf numFmtId="0" fontId="64" fillId="0" borderId="0" xfId="0" applyFont="1" applyBorder="1" applyAlignment="1" applyProtection="1">
      <alignment horizontal="center" vertical="center" wrapText="1"/>
    </xf>
    <xf numFmtId="0" fontId="64" fillId="0" borderId="0" xfId="0" applyFont="1" applyBorder="1" applyAlignment="1" applyProtection="1">
      <alignment horizontal="center" wrapText="1"/>
    </xf>
    <xf numFmtId="3" fontId="28" fillId="0" borderId="0" xfId="0" applyNumberFormat="1" applyFont="1" applyBorder="1" applyAlignment="1" applyProtection="1">
      <alignment horizontal="center"/>
    </xf>
    <xf numFmtId="167" fontId="28" fillId="0" borderId="0" xfId="0" applyNumberFormat="1" applyFont="1" applyFill="1" applyBorder="1" applyAlignment="1" applyProtection="1">
      <alignment horizontal="center"/>
      <protection locked="0"/>
    </xf>
    <xf numFmtId="4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14" fontId="29" fillId="0" borderId="0" xfId="0" applyNumberFormat="1" applyFont="1" applyProtection="1"/>
    <xf numFmtId="14" fontId="28" fillId="0" borderId="0" xfId="0" applyNumberFormat="1" applyFont="1" applyProtection="1"/>
    <xf numFmtId="0" fontId="56" fillId="24" borderId="84" xfId="0" applyFont="1" applyFill="1" applyBorder="1" applyAlignment="1" applyProtection="1">
      <alignment horizontal="center" vertical="center"/>
    </xf>
    <xf numFmtId="0" fontId="57" fillId="24" borderId="85" xfId="0" applyFont="1" applyFill="1" applyBorder="1" applyAlignment="1" applyProtection="1">
      <alignment horizontal="center" vertical="center" shrinkToFit="1"/>
    </xf>
    <xf numFmtId="0" fontId="61" fillId="24" borderId="82" xfId="0" applyFont="1" applyFill="1" applyBorder="1" applyAlignment="1" applyProtection="1">
      <alignment horizontal="center" vertical="center"/>
    </xf>
    <xf numFmtId="0" fontId="62" fillId="24" borderId="65" xfId="0" applyFont="1" applyFill="1" applyBorder="1" applyAlignment="1" applyProtection="1">
      <alignment horizontal="center" vertical="center"/>
    </xf>
    <xf numFmtId="0" fontId="56" fillId="24" borderId="65" xfId="0" applyFont="1" applyFill="1" applyBorder="1" applyAlignment="1" applyProtection="1">
      <alignment horizontal="center" vertical="center"/>
    </xf>
    <xf numFmtId="0" fontId="57" fillId="24" borderId="65" xfId="0" applyFont="1" applyFill="1" applyBorder="1" applyAlignment="1" applyProtection="1">
      <alignment horizontal="center" vertical="center"/>
    </xf>
    <xf numFmtId="0" fontId="63" fillId="24" borderId="80" xfId="0" applyFont="1" applyFill="1" applyBorder="1" applyAlignment="1" applyProtection="1">
      <alignment horizontal="center" vertical="center"/>
    </xf>
    <xf numFmtId="0" fontId="51" fillId="25" borderId="77" xfId="0" applyFont="1" applyFill="1" applyBorder="1" applyAlignment="1" applyProtection="1">
      <alignment horizontal="center" vertical="center"/>
    </xf>
    <xf numFmtId="0" fontId="52" fillId="25" borderId="69" xfId="0" applyFont="1" applyFill="1" applyBorder="1" applyAlignment="1" applyProtection="1">
      <alignment horizontal="center" vertical="center"/>
    </xf>
    <xf numFmtId="0" fontId="68" fillId="10" borderId="77" xfId="0" applyFont="1" applyFill="1" applyBorder="1" applyAlignment="1" applyProtection="1">
      <alignment horizontal="center" vertical="center"/>
    </xf>
    <xf numFmtId="172" fontId="69" fillId="10" borderId="42" xfId="0" applyNumberFormat="1" applyFont="1" applyFill="1" applyBorder="1" applyAlignment="1" applyProtection="1">
      <alignment horizontal="center" vertical="top" shrinkToFit="1"/>
    </xf>
    <xf numFmtId="0" fontId="70" fillId="10" borderId="77" xfId="0" applyFont="1" applyFill="1" applyBorder="1" applyAlignment="1" applyProtection="1">
      <alignment horizontal="center" vertical="center"/>
    </xf>
    <xf numFmtId="172" fontId="71" fillId="10" borderId="42" xfId="0" applyNumberFormat="1" applyFont="1" applyFill="1" applyBorder="1" applyAlignment="1" applyProtection="1">
      <alignment horizontal="center" vertical="top" shrinkToFit="1"/>
    </xf>
    <xf numFmtId="0" fontId="72" fillId="10" borderId="70" xfId="0" applyFont="1" applyFill="1" applyBorder="1" applyAlignment="1" applyProtection="1">
      <alignment horizontal="center" vertical="center"/>
    </xf>
    <xf numFmtId="172" fontId="50" fillId="10" borderId="83" xfId="0" applyNumberFormat="1" applyFont="1" applyFill="1" applyBorder="1" applyAlignment="1" applyProtection="1">
      <alignment horizontal="center" vertical="top" shrinkToFit="1"/>
    </xf>
    <xf numFmtId="0" fontId="68" fillId="25" borderId="77" xfId="0" applyFont="1" applyFill="1" applyBorder="1" applyAlignment="1" applyProtection="1">
      <alignment horizontal="center" vertical="center"/>
    </xf>
    <xf numFmtId="0" fontId="70" fillId="25" borderId="77" xfId="0" applyFont="1" applyFill="1" applyBorder="1" applyAlignment="1" applyProtection="1">
      <alignment horizontal="center" vertical="center"/>
    </xf>
    <xf numFmtId="0" fontId="72" fillId="25" borderId="70" xfId="0" applyFont="1" applyFill="1" applyBorder="1" applyAlignment="1" applyProtection="1">
      <alignment horizontal="center" vertical="center"/>
    </xf>
    <xf numFmtId="3" fontId="0" fillId="0" borderId="27" xfId="0" applyNumberFormat="1" applyFill="1" applyBorder="1" applyAlignment="1" applyProtection="1">
      <alignment horizontal="center"/>
      <protection locked="0"/>
    </xf>
    <xf numFmtId="3" fontId="0" fillId="0" borderId="26" xfId="0" applyNumberFormat="1" applyFill="1" applyBorder="1" applyAlignment="1" applyProtection="1">
      <alignment horizontal="center"/>
      <protection locked="0"/>
    </xf>
    <xf numFmtId="3" fontId="0" fillId="0" borderId="24" xfId="0" applyNumberFormat="1" applyFill="1" applyBorder="1" applyAlignment="1" applyProtection="1">
      <alignment horizontal="center"/>
      <protection locked="0"/>
    </xf>
    <xf numFmtId="3" fontId="0" fillId="0" borderId="2" xfId="0" applyNumberFormat="1" applyFill="1" applyBorder="1" applyAlignment="1" applyProtection="1">
      <alignment horizontal="center"/>
      <protection locked="0"/>
    </xf>
    <xf numFmtId="3" fontId="0" fillId="0" borderId="93" xfId="0" applyNumberFormat="1" applyFill="1" applyBorder="1" applyAlignment="1" applyProtection="1">
      <alignment horizontal="center"/>
      <protection locked="0"/>
    </xf>
    <xf numFmtId="3" fontId="0" fillId="0" borderId="94" xfId="0" applyNumberFormat="1" applyFill="1" applyBorder="1" applyAlignment="1" applyProtection="1">
      <alignment horizontal="center"/>
      <protection locked="0"/>
    </xf>
    <xf numFmtId="3" fontId="0" fillId="22" borderId="11" xfId="0" applyNumberFormat="1" applyFill="1" applyBorder="1" applyAlignment="1" applyProtection="1">
      <alignment horizontal="center"/>
    </xf>
    <xf numFmtId="3" fontId="0" fillId="22" borderId="4" xfId="0" applyNumberFormat="1" applyFill="1" applyBorder="1" applyAlignment="1" applyProtection="1">
      <alignment horizontal="center"/>
    </xf>
    <xf numFmtId="167" fontId="0" fillId="0" borderId="43" xfId="0" applyNumberFormat="1" applyFill="1" applyBorder="1" applyAlignment="1" applyProtection="1">
      <alignment horizontal="center"/>
    </xf>
    <xf numFmtId="3" fontId="0" fillId="0" borderId="43" xfId="0" applyNumberFormat="1" applyFill="1" applyBorder="1" applyAlignment="1" applyProtection="1">
      <alignment horizontal="center"/>
    </xf>
    <xf numFmtId="167" fontId="0" fillId="0" borderId="27" xfId="0" applyNumberFormat="1" applyFill="1" applyBorder="1" applyAlignment="1" applyProtection="1">
      <alignment horizontal="center"/>
    </xf>
    <xf numFmtId="167" fontId="0" fillId="0" borderId="24" xfId="0" applyNumberFormat="1" applyFill="1" applyBorder="1" applyAlignment="1" applyProtection="1">
      <alignment horizontal="center"/>
    </xf>
    <xf numFmtId="167" fontId="0" fillId="0" borderId="93" xfId="0" applyNumberFormat="1" applyFill="1" applyBorder="1" applyAlignment="1" applyProtection="1">
      <alignment horizontal="center"/>
    </xf>
    <xf numFmtId="177" fontId="6" fillId="21" borderId="91" xfId="0" applyNumberFormat="1" applyFont="1" applyFill="1" applyBorder="1" applyAlignment="1" applyProtection="1">
      <alignment horizontal="center" vertical="center"/>
    </xf>
    <xf numFmtId="2" fontId="6" fillId="12" borderId="91" xfId="0" applyNumberFormat="1" applyFont="1" applyFill="1" applyBorder="1" applyAlignment="1" applyProtection="1">
      <alignment horizontal="center" vertical="center"/>
    </xf>
    <xf numFmtId="177" fontId="6" fillId="21" borderId="1" xfId="0" applyNumberFormat="1" applyFont="1" applyFill="1" applyBorder="1" applyAlignment="1" applyProtection="1">
      <alignment horizontal="center" vertical="center"/>
    </xf>
    <xf numFmtId="2" fontId="6" fillId="12" borderId="1" xfId="0" applyNumberFormat="1" applyFont="1" applyFill="1" applyBorder="1" applyAlignment="1" applyProtection="1">
      <alignment horizontal="center" vertical="center"/>
    </xf>
    <xf numFmtId="177" fontId="55" fillId="16" borderId="1" xfId="0" applyNumberFormat="1" applyFont="1" applyFill="1" applyBorder="1" applyAlignment="1" applyProtection="1">
      <alignment horizontal="center" vertical="center"/>
    </xf>
    <xf numFmtId="2" fontId="55" fillId="16" borderId="1" xfId="0" applyNumberFormat="1" applyFont="1" applyFill="1" applyBorder="1" applyAlignment="1" applyProtection="1">
      <alignment horizontal="center" vertical="center"/>
    </xf>
    <xf numFmtId="177" fontId="25" fillId="16" borderId="9" xfId="0" applyNumberFormat="1" applyFont="1" applyFill="1" applyBorder="1" applyAlignment="1" applyProtection="1">
      <alignment horizontal="center" vertical="center"/>
    </xf>
    <xf numFmtId="2" fontId="25" fillId="16" borderId="9" xfId="0" applyNumberFormat="1" applyFont="1" applyFill="1" applyBorder="1" applyAlignment="1" applyProtection="1">
      <alignment horizontal="center" vertical="center"/>
    </xf>
    <xf numFmtId="179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/>
    </xf>
    <xf numFmtId="3" fontId="0" fillId="16" borderId="89" xfId="0" applyNumberFormat="1" applyFill="1" applyBorder="1" applyAlignment="1" applyProtection="1">
      <alignment horizontal="center" vertical="center"/>
    </xf>
    <xf numFmtId="0" fontId="0" fillId="16" borderId="86" xfId="0" applyFill="1" applyBorder="1" applyAlignment="1" applyProtection="1">
      <alignment horizontal="right"/>
    </xf>
    <xf numFmtId="0" fontId="0" fillId="16" borderId="87" xfId="0" applyFill="1" applyBorder="1" applyAlignment="1" applyProtection="1">
      <alignment horizontal="center"/>
    </xf>
    <xf numFmtId="178" fontId="58" fillId="25" borderId="83" xfId="0" applyNumberFormat="1" applyFont="1" applyFill="1" applyBorder="1" applyAlignment="1" applyProtection="1">
      <alignment horizontal="center" vertical="top" shrinkToFit="1"/>
    </xf>
    <xf numFmtId="178" fontId="74" fillId="25" borderId="42" xfId="0" applyNumberFormat="1" applyFont="1" applyFill="1" applyBorder="1" applyAlignment="1" applyProtection="1">
      <alignment horizontal="center" vertical="top" shrinkToFit="1"/>
    </xf>
    <xf numFmtId="178" fontId="49" fillId="25" borderId="42" xfId="0" applyNumberFormat="1" applyFont="1" applyFill="1" applyBorder="1" applyAlignment="1" applyProtection="1">
      <alignment horizontal="center" vertical="top" shrinkToFit="1"/>
    </xf>
    <xf numFmtId="178" fontId="73" fillId="25" borderId="42" xfId="0" applyNumberFormat="1" applyFont="1" applyFill="1" applyBorder="1" applyAlignment="1" applyProtection="1">
      <alignment horizontal="center" vertical="top" shrinkToFit="1"/>
    </xf>
    <xf numFmtId="178" fontId="45" fillId="25" borderId="45" xfId="0" applyNumberFormat="1" applyFont="1" applyFill="1" applyBorder="1" applyAlignment="1" applyProtection="1">
      <alignment horizontal="center" vertical="top" shrinkToFi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28" fillId="0" borderId="0" xfId="0" applyFont="1" applyFill="1" applyProtection="1"/>
    <xf numFmtId="0" fontId="77" fillId="0" borderId="0" xfId="0" applyFont="1" applyFill="1" applyBorder="1" applyAlignment="1" applyProtection="1">
      <alignment horizontal="right" vertical="center" wrapText="1"/>
    </xf>
    <xf numFmtId="0" fontId="78" fillId="0" borderId="0" xfId="0" applyFont="1" applyFill="1" applyBorder="1" applyAlignment="1" applyProtection="1">
      <alignment horizontal="center" vertical="center" wrapText="1"/>
    </xf>
    <xf numFmtId="0" fontId="78" fillId="0" borderId="0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Protection="1"/>
    <xf numFmtId="0" fontId="28" fillId="0" borderId="0" xfId="0" applyFont="1" applyFill="1" applyBorder="1" applyAlignment="1" applyProtection="1">
      <alignment horizontal="center" vertical="top"/>
    </xf>
    <xf numFmtId="0" fontId="78" fillId="0" borderId="0" xfId="0" applyFont="1" applyFill="1" applyBorder="1" applyAlignment="1" applyProtection="1">
      <alignment horizontal="right" vertical="center"/>
    </xf>
    <xf numFmtId="0" fontId="78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 vertical="center"/>
    </xf>
    <xf numFmtId="3" fontId="79" fillId="0" borderId="0" xfId="0" applyNumberFormat="1" applyFont="1" applyFill="1" applyBorder="1" applyAlignment="1" applyProtection="1">
      <alignment horizontal="center" vertical="center" shrinkToFit="1"/>
    </xf>
    <xf numFmtId="3" fontId="77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Alignment="1" applyProtection="1">
      <alignment horizontal="center"/>
    </xf>
    <xf numFmtId="0" fontId="28" fillId="0" borderId="0" xfId="0" applyFont="1" applyBorder="1" applyProtection="1"/>
    <xf numFmtId="0" fontId="80" fillId="0" borderId="0" xfId="0" applyFont="1" applyFill="1" applyBorder="1" applyAlignment="1" applyProtection="1">
      <alignment horizontal="right"/>
    </xf>
    <xf numFmtId="0" fontId="80" fillId="0" borderId="0" xfId="0" applyFont="1" applyFill="1" applyBorder="1" applyAlignment="1" applyProtection="1">
      <alignment horizontal="center" vertical="center"/>
    </xf>
    <xf numFmtId="0" fontId="76" fillId="0" borderId="0" xfId="0" applyFont="1" applyFill="1" applyBorder="1" applyAlignment="1" applyProtection="1">
      <alignment horizontal="center" vertical="center" wrapText="1"/>
    </xf>
    <xf numFmtId="0" fontId="81" fillId="0" borderId="0" xfId="0" applyFont="1" applyFill="1" applyBorder="1" applyAlignment="1" applyProtection="1">
      <alignment horizontal="center" vertical="center" shrinkToFit="1"/>
    </xf>
    <xf numFmtId="0" fontId="64" fillId="0" borderId="0" xfId="0" applyFont="1" applyFill="1" applyBorder="1" applyAlignment="1" applyProtection="1">
      <alignment horizontal="center" vertical="center" wrapText="1"/>
    </xf>
    <xf numFmtId="49" fontId="82" fillId="0" borderId="0" xfId="0" applyNumberFormat="1" applyFont="1" applyFill="1" applyBorder="1" applyAlignment="1" applyProtection="1">
      <alignment horizontal="center" vertical="center" shrinkToFit="1"/>
    </xf>
    <xf numFmtId="0" fontId="64" fillId="0" borderId="0" xfId="0" applyFont="1" applyFill="1" applyBorder="1" applyAlignment="1" applyProtection="1">
      <alignment horizontal="center"/>
    </xf>
    <xf numFmtId="2" fontId="28" fillId="0" borderId="0" xfId="0" applyNumberFormat="1" applyFont="1" applyFill="1" applyBorder="1" applyProtection="1"/>
    <xf numFmtId="2" fontId="28" fillId="0" borderId="0" xfId="0" applyNumberFormat="1" applyFont="1" applyFill="1" applyBorder="1" applyAlignment="1" applyProtection="1">
      <alignment horizontal="center" vertical="center"/>
    </xf>
    <xf numFmtId="0" fontId="81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169" fontId="28" fillId="0" borderId="0" xfId="0" applyNumberFormat="1" applyFont="1" applyFill="1" applyBorder="1" applyAlignment="1" applyProtection="1">
      <alignment horizontal="center"/>
    </xf>
    <xf numFmtId="0" fontId="79" fillId="0" borderId="0" xfId="0" applyFont="1" applyFill="1" applyBorder="1" applyAlignment="1" applyProtection="1">
      <alignment horizontal="center"/>
    </xf>
    <xf numFmtId="3" fontId="83" fillId="0" borderId="0" xfId="0" applyNumberFormat="1" applyFont="1" applyFill="1" applyBorder="1" applyAlignment="1" applyProtection="1">
      <alignment horizontal="center" shrinkToFit="1"/>
    </xf>
    <xf numFmtId="3" fontId="76" fillId="0" borderId="0" xfId="0" applyNumberFormat="1" applyFont="1" applyFill="1" applyBorder="1" applyAlignment="1" applyProtection="1">
      <alignment horizontal="center" shrinkToFit="1"/>
    </xf>
    <xf numFmtId="171" fontId="82" fillId="0" borderId="0" xfId="0" applyNumberFormat="1" applyFont="1" applyFill="1" applyBorder="1" applyAlignment="1" applyProtection="1">
      <alignment horizontal="center" vertical="center" shrinkToFit="1"/>
    </xf>
    <xf numFmtId="0" fontId="82" fillId="0" borderId="0" xfId="0" applyNumberFormat="1" applyFont="1" applyFill="1" applyBorder="1" applyAlignment="1" applyProtection="1">
      <alignment horizontal="center" vertical="center" shrinkToFit="1"/>
    </xf>
    <xf numFmtId="3" fontId="28" fillId="0" borderId="0" xfId="0" applyNumberFormat="1" applyFont="1" applyFill="1" applyBorder="1" applyAlignment="1" applyProtection="1">
      <alignment horizontal="center"/>
    </xf>
    <xf numFmtId="1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Protection="1"/>
    <xf numFmtId="1" fontId="28" fillId="0" borderId="0" xfId="0" applyNumberFormat="1" applyFont="1" applyFill="1" applyBorder="1" applyAlignment="1" applyProtection="1">
      <alignment horizontal="center" vertical="center"/>
    </xf>
    <xf numFmtId="177" fontId="28" fillId="0" borderId="0" xfId="0" applyNumberFormat="1" applyFont="1" applyFill="1" applyBorder="1" applyAlignment="1" applyProtection="1">
      <alignment horizontal="center" vertical="center"/>
    </xf>
    <xf numFmtId="2" fontId="28" fillId="0" borderId="0" xfId="0" applyNumberFormat="1" applyFont="1" applyBorder="1" applyAlignment="1" applyProtection="1">
      <alignment horizontal="center" vertical="center"/>
    </xf>
    <xf numFmtId="0" fontId="28" fillId="0" borderId="0" xfId="0" applyNumberFormat="1" applyFont="1" applyBorder="1" applyAlignment="1" applyProtection="1">
      <alignment horizontal="center"/>
    </xf>
    <xf numFmtId="3" fontId="28" fillId="0" borderId="0" xfId="0" applyNumberFormat="1" applyFont="1" applyBorder="1" applyAlignment="1" applyProtection="1">
      <alignment horizontal="center" vertical="center"/>
    </xf>
    <xf numFmtId="0" fontId="84" fillId="0" borderId="0" xfId="0" applyFont="1" applyFill="1" applyBorder="1" applyAlignment="1" applyProtection="1">
      <alignment horizontal="center"/>
    </xf>
    <xf numFmtId="168" fontId="28" fillId="0" borderId="0" xfId="0" applyNumberFormat="1" applyFont="1" applyBorder="1" applyAlignment="1" applyProtection="1">
      <alignment horizontal="center" vertical="center"/>
    </xf>
    <xf numFmtId="0" fontId="83" fillId="0" borderId="0" xfId="0" applyFont="1" applyFill="1" applyBorder="1" applyAlignment="1" applyProtection="1">
      <alignment horizontal="center" vertical="center" shrinkToFit="1"/>
    </xf>
    <xf numFmtId="3" fontId="83" fillId="0" borderId="0" xfId="0" applyNumberFormat="1" applyFont="1" applyFill="1" applyBorder="1" applyAlignment="1" applyProtection="1">
      <alignment horizontal="center" vertical="center" shrinkToFit="1"/>
    </xf>
    <xf numFmtId="0" fontId="82" fillId="0" borderId="0" xfId="0" applyFont="1" applyFill="1" applyBorder="1" applyAlignment="1" applyProtection="1">
      <alignment horizontal="center"/>
    </xf>
    <xf numFmtId="3" fontId="82" fillId="0" borderId="0" xfId="0" applyNumberFormat="1" applyFont="1" applyFill="1" applyBorder="1" applyAlignment="1" applyProtection="1">
      <alignment horizontal="center"/>
    </xf>
    <xf numFmtId="49" fontId="82" fillId="0" borderId="0" xfId="0" applyNumberFormat="1" applyFont="1" applyFill="1" applyBorder="1" applyAlignment="1" applyProtection="1">
      <alignment horizontal="center"/>
    </xf>
    <xf numFmtId="167" fontId="28" fillId="0" borderId="0" xfId="0" applyNumberFormat="1" applyFont="1" applyFill="1" applyBorder="1" applyProtection="1"/>
    <xf numFmtId="2" fontId="28" fillId="0" borderId="0" xfId="0" applyNumberFormat="1" applyFont="1" applyBorder="1" applyAlignment="1" applyProtection="1">
      <alignment horizontal="center"/>
    </xf>
    <xf numFmtId="164" fontId="28" fillId="0" borderId="0" xfId="0" applyNumberFormat="1" applyFont="1" applyFill="1" applyBorder="1" applyAlignment="1" applyProtection="1">
      <alignment horizontal="center" wrapText="1"/>
    </xf>
    <xf numFmtId="15" fontId="64" fillId="0" borderId="0" xfId="0" applyNumberFormat="1" applyFont="1" applyFill="1" applyBorder="1" applyAlignment="1" applyProtection="1">
      <alignment wrapText="1"/>
    </xf>
    <xf numFmtId="0" fontId="28" fillId="0" borderId="0" xfId="0" applyNumberFormat="1" applyFont="1" applyProtection="1"/>
    <xf numFmtId="170" fontId="87" fillId="19" borderId="46" xfId="0" applyNumberFormat="1" applyFont="1" applyFill="1" applyBorder="1" applyAlignment="1" applyProtection="1">
      <alignment horizontal="center" vertical="center"/>
    </xf>
    <xf numFmtId="0" fontId="67" fillId="24" borderId="85" xfId="0" applyFont="1" applyFill="1" applyBorder="1" applyAlignment="1" applyProtection="1">
      <alignment horizontal="center" vertical="center" shrinkToFit="1"/>
    </xf>
    <xf numFmtId="0" fontId="88" fillId="24" borderId="78" xfId="0" applyFont="1" applyFill="1" applyBorder="1" applyAlignment="1" applyProtection="1">
      <alignment horizontal="center" vertical="center" wrapText="1"/>
    </xf>
    <xf numFmtId="0" fontId="89" fillId="7" borderId="28" xfId="0" applyFont="1" applyFill="1" applyBorder="1" applyAlignment="1" applyProtection="1">
      <alignment horizontal="right" vertical="center"/>
    </xf>
    <xf numFmtId="0" fontId="90" fillId="2" borderId="36" xfId="0" applyFont="1" applyFill="1" applyBorder="1" applyAlignment="1" applyProtection="1">
      <alignment horizontal="center" vertical="center" shrinkToFit="1"/>
    </xf>
    <xf numFmtId="0" fontId="29" fillId="0" borderId="0" xfId="0" applyFont="1" applyFill="1" applyProtection="1"/>
    <xf numFmtId="0" fontId="29" fillId="0" borderId="0" xfId="0" applyFont="1" applyFill="1" applyAlignment="1" applyProtection="1">
      <alignment horizontal="center"/>
    </xf>
    <xf numFmtId="0" fontId="0" fillId="16" borderId="0" xfId="0" applyFill="1" applyBorder="1" applyProtection="1"/>
    <xf numFmtId="167" fontId="0" fillId="0" borderId="98" xfId="0" applyNumberFormat="1" applyFill="1" applyBorder="1" applyAlignment="1" applyProtection="1">
      <alignment horizontal="center"/>
    </xf>
    <xf numFmtId="0" fontId="29" fillId="0" borderId="0" xfId="0" applyFont="1" applyBorder="1" applyProtection="1"/>
    <xf numFmtId="0" fontId="25" fillId="12" borderId="35" xfId="0" applyFont="1" applyFill="1" applyBorder="1" applyAlignment="1" applyProtection="1">
      <alignment horizontal="center" vertical="center" wrapText="1"/>
    </xf>
    <xf numFmtId="0" fontId="0" fillId="18" borderId="25" xfId="0" applyFill="1" applyBorder="1" applyProtection="1"/>
    <xf numFmtId="0" fontId="0" fillId="18" borderId="68" xfId="0" applyFill="1" applyBorder="1" applyProtection="1"/>
    <xf numFmtId="0" fontId="0" fillId="18" borderId="68" xfId="0" applyFill="1" applyBorder="1" applyAlignment="1" applyProtection="1">
      <alignment horizontal="center"/>
    </xf>
    <xf numFmtId="0" fontId="0" fillId="18" borderId="96" xfId="0" applyFill="1" applyBorder="1" applyProtection="1"/>
    <xf numFmtId="0" fontId="0" fillId="18" borderId="28" xfId="0" applyFill="1" applyBorder="1" applyProtection="1"/>
    <xf numFmtId="0" fontId="0" fillId="18" borderId="41" xfId="0" applyFill="1" applyBorder="1" applyProtection="1"/>
    <xf numFmtId="0" fontId="12" fillId="5" borderId="28" xfId="0" applyFont="1" applyFill="1" applyBorder="1" applyAlignment="1" applyProtection="1">
      <alignment horizontal="center" vertical="center"/>
      <protection locked="0"/>
    </xf>
    <xf numFmtId="0" fontId="7" fillId="18" borderId="0" xfId="0" applyFont="1" applyFill="1" applyBorder="1" applyAlignment="1" applyProtection="1">
      <alignment horizontal="center" vertical="center"/>
      <protection locked="0"/>
    </xf>
    <xf numFmtId="0" fontId="0" fillId="18" borderId="28" xfId="0" applyFill="1" applyBorder="1" applyProtection="1">
      <protection locked="0"/>
    </xf>
    <xf numFmtId="0" fontId="0" fillId="18" borderId="28" xfId="0" applyFill="1" applyBorder="1" applyAlignment="1" applyProtection="1">
      <alignment horizontal="center"/>
    </xf>
    <xf numFmtId="0" fontId="0" fillId="18" borderId="28" xfId="0" applyNumberFormat="1" applyFill="1" applyBorder="1" applyAlignment="1" applyProtection="1">
      <alignment horizontal="center" wrapText="1"/>
    </xf>
    <xf numFmtId="3" fontId="5" fillId="18" borderId="41" xfId="0" applyNumberFormat="1" applyFont="1" applyFill="1" applyBorder="1" applyAlignment="1" applyProtection="1">
      <alignment horizontal="center" vertical="center" shrinkToFit="1"/>
    </xf>
    <xf numFmtId="0" fontId="37" fillId="5" borderId="28" xfId="0" applyFont="1" applyFill="1" applyBorder="1" applyAlignment="1" applyProtection="1">
      <alignment horizontal="center" vertical="center"/>
      <protection locked="0"/>
    </xf>
    <xf numFmtId="3" fontId="8" fillId="18" borderId="41" xfId="0" applyNumberFormat="1" applyFont="1" applyFill="1" applyBorder="1" applyAlignment="1" applyProtection="1">
      <alignment horizontal="center" vertical="center" wrapText="1"/>
    </xf>
    <xf numFmtId="0" fontId="0" fillId="18" borderId="41" xfId="0" applyFill="1" applyBorder="1" applyAlignment="1" applyProtection="1">
      <alignment horizontal="center"/>
    </xf>
    <xf numFmtId="0" fontId="0" fillId="18" borderId="73" xfId="0" applyFill="1" applyBorder="1" applyProtection="1"/>
    <xf numFmtId="0" fontId="0" fillId="18" borderId="74" xfId="0" applyFill="1" applyBorder="1" applyProtection="1"/>
    <xf numFmtId="3" fontId="33" fillId="6" borderId="97" xfId="0" applyNumberFormat="1" applyFont="1" applyFill="1" applyBorder="1" applyAlignment="1" applyProtection="1">
      <alignment horizontal="center" vertical="center" shrinkToFit="1"/>
    </xf>
    <xf numFmtId="172" fontId="30" fillId="17" borderId="102" xfId="0" applyNumberFormat="1" applyFont="1" applyFill="1" applyBorder="1" applyAlignment="1" applyProtection="1">
      <alignment horizontal="center" vertical="center" shrinkToFit="1"/>
    </xf>
    <xf numFmtId="173" fontId="30" fillId="17" borderId="102" xfId="0" applyNumberFormat="1" applyFont="1" applyFill="1" applyBorder="1" applyAlignment="1" applyProtection="1">
      <alignment horizontal="center" vertical="center" shrinkToFit="1"/>
    </xf>
    <xf numFmtId="175" fontId="30" fillId="17" borderId="102" xfId="0" applyNumberFormat="1" applyFont="1" applyFill="1" applyBorder="1" applyAlignment="1" applyProtection="1">
      <alignment horizontal="center" vertical="center" shrinkToFit="1"/>
    </xf>
    <xf numFmtId="0" fontId="79" fillId="0" borderId="0" xfId="0" applyFont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center" vertical="center"/>
    </xf>
    <xf numFmtId="3" fontId="28" fillId="0" borderId="0" xfId="0" applyNumberFormat="1" applyFont="1" applyBorder="1" applyProtection="1"/>
    <xf numFmtId="3" fontId="28" fillId="0" borderId="0" xfId="0" applyNumberFormat="1" applyFont="1" applyBorder="1" applyAlignment="1" applyProtection="1">
      <alignment horizontal="left"/>
    </xf>
    <xf numFmtId="177" fontId="28" fillId="0" borderId="0" xfId="0" applyNumberFormat="1" applyFont="1" applyBorder="1" applyProtection="1"/>
    <xf numFmtId="0" fontId="80" fillId="0" borderId="0" xfId="0" applyFont="1" applyFill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 vertical="center"/>
    </xf>
    <xf numFmtId="0" fontId="28" fillId="16" borderId="0" xfId="0" applyFont="1" applyFill="1" applyProtection="1"/>
    <xf numFmtId="0" fontId="29" fillId="0" borderId="0" xfId="0" applyFont="1" applyFill="1" applyBorder="1" applyProtection="1"/>
    <xf numFmtId="0" fontId="29" fillId="0" borderId="0" xfId="0" applyFont="1" applyFill="1" applyBorder="1" applyAlignment="1" applyProtection="1">
      <alignment horizontal="center"/>
    </xf>
    <xf numFmtId="0" fontId="11" fillId="2" borderId="5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47" fillId="0" borderId="24" xfId="0" applyNumberFormat="1" applyFont="1" applyFill="1" applyBorder="1" applyAlignment="1" applyProtection="1">
      <alignment horizontal="center"/>
      <protection locked="0"/>
    </xf>
    <xf numFmtId="3" fontId="6" fillId="0" borderId="103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171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44" xfId="0" applyNumberFormat="1" applyFont="1" applyFill="1" applyBorder="1" applyAlignment="1" applyProtection="1">
      <alignment horizontal="center"/>
      <protection locked="0"/>
    </xf>
    <xf numFmtId="0" fontId="0" fillId="16" borderId="87" xfId="0" applyFill="1" applyBorder="1" applyAlignment="1" applyProtection="1">
      <alignment horizontal="left"/>
    </xf>
    <xf numFmtId="168" fontId="53" fillId="12" borderId="104" xfId="0" applyNumberFormat="1" applyFont="1" applyFill="1" applyBorder="1" applyAlignment="1" applyProtection="1">
      <alignment horizontal="center" vertical="center"/>
    </xf>
    <xf numFmtId="2" fontId="6" fillId="12" borderId="105" xfId="0" applyNumberFormat="1" applyFont="1" applyFill="1" applyBorder="1" applyAlignment="1" applyProtection="1">
      <alignment horizontal="right" vertical="center" indent="2"/>
    </xf>
    <xf numFmtId="2" fontId="6" fillId="12" borderId="106" xfId="0" applyNumberFormat="1" applyFont="1" applyFill="1" applyBorder="1" applyAlignment="1" applyProtection="1">
      <alignment horizontal="right" vertical="center" indent="2"/>
    </xf>
    <xf numFmtId="2" fontId="55" fillId="16" borderId="106" xfId="0" applyNumberFormat="1" applyFont="1" applyFill="1" applyBorder="1" applyAlignment="1" applyProtection="1">
      <alignment horizontal="right" vertical="center" indent="2"/>
    </xf>
    <xf numFmtId="2" fontId="25" fillId="16" borderId="20" xfId="0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wrapText="1"/>
    </xf>
    <xf numFmtId="0" fontId="64" fillId="0" borderId="0" xfId="0" applyFont="1" applyBorder="1" applyProtection="1"/>
    <xf numFmtId="1" fontId="28" fillId="0" borderId="0" xfId="0" applyNumberFormat="1" applyFont="1" applyBorder="1" applyAlignment="1" applyProtection="1">
      <alignment horizontal="center"/>
    </xf>
    <xf numFmtId="4" fontId="28" fillId="0" borderId="0" xfId="0" applyNumberFormat="1" applyFont="1" applyBorder="1" applyAlignment="1" applyProtection="1">
      <alignment horizontal="center"/>
    </xf>
    <xf numFmtId="167" fontId="28" fillId="0" borderId="0" xfId="0" applyNumberFormat="1" applyFont="1" applyBorder="1" applyAlignment="1" applyProtection="1">
      <alignment horizontal="right"/>
    </xf>
    <xf numFmtId="167" fontId="28" fillId="0" borderId="0" xfId="0" applyNumberFormat="1" applyFont="1" applyBorder="1" applyProtection="1"/>
    <xf numFmtId="0" fontId="65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wrapText="1"/>
    </xf>
    <xf numFmtId="0" fontId="64" fillId="0" borderId="0" xfId="0" applyFont="1" applyFill="1" applyBorder="1" applyAlignment="1" applyProtection="1">
      <alignment horizontal="center" wrapText="1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Protection="1"/>
    <xf numFmtId="4" fontId="28" fillId="0" borderId="0" xfId="0" applyNumberFormat="1" applyFont="1" applyFill="1" applyBorder="1" applyAlignment="1" applyProtection="1">
      <alignment horizontal="center"/>
    </xf>
    <xf numFmtId="167" fontId="28" fillId="0" borderId="0" xfId="0" applyNumberFormat="1" applyFont="1" applyFill="1" applyBorder="1" applyAlignment="1" applyProtection="1">
      <alignment horizontal="right"/>
    </xf>
    <xf numFmtId="167" fontId="64" fillId="0" borderId="0" xfId="0" applyNumberFormat="1" applyFont="1" applyFill="1" applyBorder="1" applyAlignment="1" applyProtection="1">
      <alignment horizontal="center"/>
    </xf>
    <xf numFmtId="167" fontId="28" fillId="0" borderId="0" xfId="0" applyNumberFormat="1" applyFont="1" applyFill="1" applyBorder="1" applyAlignment="1" applyProtection="1">
      <alignment horizontal="center"/>
    </xf>
    <xf numFmtId="14" fontId="28" fillId="0" borderId="0" xfId="0" applyNumberFormat="1" applyFont="1" applyFill="1" applyBorder="1" applyProtection="1"/>
    <xf numFmtId="3" fontId="28" fillId="0" borderId="0" xfId="0" applyNumberFormat="1" applyFont="1" applyFill="1" applyBorder="1" applyAlignment="1" applyProtection="1">
      <alignment horizontal="left"/>
    </xf>
    <xf numFmtId="2" fontId="28" fillId="0" borderId="0" xfId="0" applyNumberFormat="1" applyFont="1" applyFill="1" applyBorder="1" applyAlignment="1" applyProtection="1">
      <alignment horizontal="center"/>
    </xf>
    <xf numFmtId="0" fontId="91" fillId="21" borderId="107" xfId="0" applyFont="1" applyFill="1" applyBorder="1" applyAlignment="1" applyProtection="1">
      <alignment horizontal="center" vertical="center" wrapText="1"/>
    </xf>
    <xf numFmtId="1" fontId="0" fillId="18" borderId="0" xfId="0" applyNumberFormat="1" applyFill="1" applyBorder="1" applyAlignment="1" applyProtection="1">
      <alignment horizontal="center" vertical="center"/>
    </xf>
    <xf numFmtId="0" fontId="0" fillId="18" borderId="74" xfId="0" applyFill="1" applyBorder="1" applyAlignment="1" applyProtection="1">
      <alignment horizontal="center"/>
    </xf>
    <xf numFmtId="0" fontId="0" fillId="18" borderId="97" xfId="0" applyFill="1" applyBorder="1" applyAlignment="1" applyProtection="1">
      <alignment horizontal="center"/>
    </xf>
    <xf numFmtId="0" fontId="32" fillId="6" borderId="96" xfId="0" applyFont="1" applyFill="1" applyBorder="1" applyAlignment="1" applyProtection="1">
      <alignment horizontal="center" vertical="center" wrapText="1" shrinkToFit="1"/>
    </xf>
    <xf numFmtId="172" fontId="39" fillId="15" borderId="112" xfId="0" applyNumberFormat="1" applyFont="1" applyFill="1" applyBorder="1" applyAlignment="1" applyProtection="1">
      <alignment horizontal="center" vertical="center" shrinkToFit="1"/>
    </xf>
    <xf numFmtId="174" fontId="39" fillId="15" borderId="112" xfId="0" applyNumberFormat="1" applyFont="1" applyFill="1" applyBorder="1" applyAlignment="1" applyProtection="1">
      <alignment horizontal="center" vertical="center" shrinkToFit="1"/>
    </xf>
    <xf numFmtId="175" fontId="39" fillId="15" borderId="113" xfId="0" applyNumberFormat="1" applyFont="1" applyFill="1" applyBorder="1" applyAlignment="1" applyProtection="1">
      <alignment horizontal="center" vertical="center" shrinkToFit="1"/>
    </xf>
    <xf numFmtId="0" fontId="92" fillId="2" borderId="9" xfId="0" applyFont="1" applyFill="1" applyBorder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3" fontId="28" fillId="0" borderId="0" xfId="0" applyNumberFormat="1" applyFont="1" applyFill="1" applyBorder="1" applyAlignment="1" applyProtection="1">
      <alignment horizontal="center"/>
      <protection locked="0"/>
    </xf>
    <xf numFmtId="3" fontId="64" fillId="0" borderId="0" xfId="0" applyNumberFormat="1" applyFont="1" applyFill="1" applyBorder="1" applyAlignment="1" applyProtection="1">
      <alignment horizontal="center"/>
    </xf>
    <xf numFmtId="14" fontId="29" fillId="0" borderId="0" xfId="0" applyNumberFormat="1" applyFont="1" applyFill="1" applyBorder="1" applyProtection="1"/>
    <xf numFmtId="3" fontId="29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 applyProtection="1">
      <alignment horizontal="center"/>
      <protection locked="0"/>
    </xf>
    <xf numFmtId="165" fontId="29" fillId="0" borderId="0" xfId="0" applyNumberFormat="1" applyFont="1" applyProtection="1"/>
    <xf numFmtId="0" fontId="95" fillId="27" borderId="95" xfId="0" applyFont="1" applyFill="1" applyBorder="1" applyAlignment="1" applyProtection="1">
      <alignment horizontal="center" vertical="center"/>
      <protection locked="0"/>
    </xf>
    <xf numFmtId="0" fontId="95" fillId="27" borderId="66" xfId="0" applyFont="1" applyFill="1" applyBorder="1" applyAlignment="1" applyProtection="1">
      <alignment horizontal="center" vertical="center"/>
      <protection locked="0"/>
    </xf>
    <xf numFmtId="0" fontId="95" fillId="27" borderId="67" xfId="0" applyFont="1" applyFill="1" applyBorder="1" applyAlignment="1" applyProtection="1">
      <alignment horizontal="center" vertical="center"/>
      <protection locked="0"/>
    </xf>
    <xf numFmtId="3" fontId="10" fillId="12" borderId="66" xfId="0" applyNumberFormat="1" applyFont="1" applyFill="1" applyBorder="1" applyAlignment="1" applyProtection="1">
      <alignment horizontal="center"/>
    </xf>
    <xf numFmtId="178" fontId="12" fillId="26" borderId="59" xfId="0" applyNumberFormat="1" applyFont="1" applyFill="1" applyBorder="1" applyAlignment="1" applyProtection="1">
      <alignment horizontal="center" vertical="center"/>
    </xf>
    <xf numFmtId="167" fontId="82" fillId="0" borderId="0" xfId="0" applyNumberFormat="1" applyFont="1" applyFill="1" applyBorder="1" applyAlignment="1" applyProtection="1">
      <alignment horizontal="center" vertical="center" shrinkToFit="1"/>
    </xf>
    <xf numFmtId="0" fontId="93" fillId="12" borderId="35" xfId="0" applyFont="1" applyFill="1" applyBorder="1" applyAlignment="1" applyProtection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94" fillId="0" borderId="33" xfId="0" applyFont="1" applyBorder="1" applyAlignment="1">
      <alignment horizontal="center" vertical="center" wrapText="1"/>
    </xf>
    <xf numFmtId="0" fontId="4" fillId="11" borderId="34" xfId="0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3" fontId="14" fillId="12" borderId="108" xfId="0" applyNumberFormat="1" applyFont="1" applyFill="1" applyBorder="1" applyAlignment="1" applyProtection="1">
      <alignment horizontal="center" vertical="center"/>
      <protection locked="0"/>
    </xf>
    <xf numFmtId="3" fontId="15" fillId="0" borderId="109" xfId="0" applyNumberFormat="1" applyFont="1" applyBorder="1" applyAlignment="1" applyProtection="1">
      <alignment vertical="center"/>
      <protection locked="0"/>
    </xf>
    <xf numFmtId="3" fontId="15" fillId="0" borderId="110" xfId="0" applyNumberFormat="1" applyFont="1" applyBorder="1" applyAlignment="1" applyProtection="1">
      <alignment vertical="center"/>
      <protection locked="0"/>
    </xf>
    <xf numFmtId="0" fontId="22" fillId="14" borderId="56" xfId="0" applyFont="1" applyFill="1" applyBorder="1" applyAlignment="1" applyProtection="1">
      <alignment horizontal="center" vertical="center" wrapText="1"/>
    </xf>
    <xf numFmtId="0" fontId="22" fillId="14" borderId="63" xfId="0" applyFont="1" applyFill="1" applyBorder="1" applyAlignment="1" applyProtection="1">
      <alignment horizontal="center" vertical="center" wrapText="1"/>
    </xf>
    <xf numFmtId="0" fontId="4" fillId="10" borderId="32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9" borderId="32" xfId="0" applyFont="1" applyFill="1" applyBorder="1" applyAlignment="1" applyProtection="1">
      <alignment horizontal="center" vertical="center"/>
    </xf>
    <xf numFmtId="0" fontId="75" fillId="12" borderId="30" xfId="0" applyFont="1" applyFill="1" applyBorder="1" applyAlignment="1" applyProtection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6" fillId="15" borderId="72" xfId="0" applyFont="1" applyFill="1" applyBorder="1" applyAlignment="1" applyProtection="1">
      <alignment horizontal="center" vertical="top" wrapText="1" shrinkToFit="1"/>
    </xf>
    <xf numFmtId="0" fontId="17" fillId="15" borderId="97" xfId="0" applyFont="1" applyFill="1" applyBorder="1" applyAlignment="1" applyProtection="1">
      <alignment horizontal="center" vertical="top" wrapText="1" shrinkToFit="1"/>
    </xf>
    <xf numFmtId="0" fontId="37" fillId="20" borderId="60" xfId="0" applyFont="1" applyFill="1" applyBorder="1" applyAlignment="1" applyProtection="1">
      <alignment horizontal="center" vertical="center" wrapText="1" shrinkToFit="1"/>
    </xf>
    <xf numFmtId="0" fontId="29" fillId="20" borderId="29" xfId="0" applyFont="1" applyFill="1" applyBorder="1" applyAlignment="1">
      <alignment horizontal="center" vertical="center" wrapText="1" shrinkToFit="1"/>
    </xf>
    <xf numFmtId="0" fontId="97" fillId="15" borderId="71" xfId="0" applyFont="1" applyFill="1" applyBorder="1" applyAlignment="1" applyProtection="1">
      <alignment horizontal="center" vertical="center" shrinkToFit="1"/>
    </xf>
    <xf numFmtId="0" fontId="98" fillId="15" borderId="96" xfId="0" applyFont="1" applyFill="1" applyBorder="1" applyAlignment="1" applyProtection="1">
      <alignment horizontal="center" vertical="center" shrinkToFit="1"/>
    </xf>
    <xf numFmtId="0" fontId="99" fillId="15" borderId="32" xfId="0" applyFont="1" applyFill="1" applyBorder="1" applyAlignment="1">
      <alignment horizontal="center" vertical="center" shrinkToFit="1"/>
    </xf>
    <xf numFmtId="0" fontId="99" fillId="15" borderId="41" xfId="0" applyFont="1" applyFill="1" applyBorder="1" applyAlignment="1">
      <alignment horizontal="center" vertical="center" shrinkToFit="1"/>
    </xf>
    <xf numFmtId="176" fontId="20" fillId="17" borderId="25" xfId="0" applyNumberFormat="1" applyFont="1" applyFill="1" applyBorder="1" applyAlignment="1" applyProtection="1">
      <alignment horizontal="center" vertical="center" shrinkToFit="1"/>
    </xf>
    <xf numFmtId="176" fontId="21" fillId="17" borderId="111" xfId="0" applyNumberFormat="1" applyFont="1" applyFill="1" applyBorder="1" applyAlignment="1" applyProtection="1">
      <alignment horizontal="center" vertical="center" shrinkToFit="1"/>
    </xf>
    <xf numFmtId="176" fontId="2" fillId="17" borderId="28" xfId="0" applyNumberFormat="1" applyFont="1" applyFill="1" applyBorder="1" applyAlignment="1">
      <alignment horizontal="center" vertical="center" shrinkToFit="1"/>
    </xf>
    <xf numFmtId="176" fontId="2" fillId="17" borderId="33" xfId="0" applyNumberFormat="1" applyFont="1" applyFill="1" applyBorder="1" applyAlignment="1">
      <alignment horizontal="center" vertical="center" shrinkToFit="1"/>
    </xf>
    <xf numFmtId="174" fontId="38" fillId="15" borderId="58" xfId="0" applyNumberFormat="1" applyFont="1" applyFill="1" applyBorder="1" applyAlignment="1" applyProtection="1">
      <alignment horizontal="center" vertical="center" shrinkToFit="1"/>
    </xf>
    <xf numFmtId="174" fontId="38" fillId="15" borderId="101" xfId="0" applyNumberFormat="1" applyFont="1" applyFill="1" applyBorder="1" applyAlignment="1" applyProtection="1">
      <alignment horizontal="center" vertical="center" shrinkToFit="1"/>
    </xf>
    <xf numFmtId="0" fontId="85" fillId="15" borderId="99" xfId="0" applyFont="1" applyFill="1" applyBorder="1" applyAlignment="1" applyProtection="1">
      <alignment horizontal="center" vertical="center"/>
    </xf>
    <xf numFmtId="0" fontId="86" fillId="15" borderId="58" xfId="0" applyFont="1" applyFill="1" applyBorder="1" applyAlignment="1">
      <alignment horizontal="center" vertical="center"/>
    </xf>
    <xf numFmtId="3" fontId="31" fillId="6" borderId="32" xfId="0" applyNumberFormat="1" applyFont="1" applyFill="1" applyBorder="1" applyAlignment="1">
      <alignment horizontal="left" vertical="center" indent="1"/>
    </xf>
    <xf numFmtId="0" fontId="31" fillId="6" borderId="41" xfId="0" applyFont="1" applyFill="1" applyBorder="1" applyAlignment="1">
      <alignment horizontal="left" indent="1"/>
    </xf>
    <xf numFmtId="0" fontId="30" fillId="17" borderId="99" xfId="0" applyFont="1" applyFill="1" applyBorder="1" applyAlignment="1" applyProtection="1">
      <alignment horizontal="center" vertical="center" shrinkToFit="1"/>
    </xf>
    <xf numFmtId="0" fontId="30" fillId="17" borderId="58" xfId="0" applyFont="1" applyFill="1" applyBorder="1" applyAlignment="1">
      <alignment horizontal="center" vertical="center" shrinkToFit="1"/>
    </xf>
    <xf numFmtId="175" fontId="35" fillId="17" borderId="58" xfId="0" applyNumberFormat="1" applyFont="1" applyFill="1" applyBorder="1" applyAlignment="1" applyProtection="1">
      <alignment horizontal="center" vertical="center" shrinkToFit="1"/>
    </xf>
    <xf numFmtId="175" fontId="34" fillId="17" borderId="101" xfId="0" applyNumberFormat="1" applyFont="1" applyFill="1" applyBorder="1" applyAlignment="1">
      <alignment horizontal="center" vertical="center" shrinkToFit="1"/>
    </xf>
    <xf numFmtId="175" fontId="36" fillId="7" borderId="58" xfId="0" applyNumberFormat="1" applyFont="1" applyFill="1" applyBorder="1" applyAlignment="1" applyProtection="1">
      <alignment horizontal="center" vertical="center" shrinkToFit="1"/>
    </xf>
    <xf numFmtId="175" fontId="29" fillId="7" borderId="59" xfId="0" applyNumberFormat="1" applyFont="1" applyFill="1" applyBorder="1" applyAlignment="1">
      <alignment horizontal="center" vertical="center" shrinkToFit="1"/>
    </xf>
    <xf numFmtId="0" fontId="18" fillId="17" borderId="73" xfId="0" applyFont="1" applyFill="1" applyBorder="1" applyAlignment="1" applyProtection="1">
      <alignment horizontal="center" vertical="top" wrapText="1" shrinkToFit="1"/>
    </xf>
    <xf numFmtId="0" fontId="19" fillId="17" borderId="100" xfId="0" applyFont="1" applyFill="1" applyBorder="1" applyAlignment="1" applyProtection="1">
      <alignment horizontal="center" vertical="top" wrapText="1" shrinkToFit="1"/>
    </xf>
    <xf numFmtId="0" fontId="10" fillId="26" borderId="99" xfId="0" applyFont="1" applyFill="1" applyBorder="1" applyAlignment="1" applyProtection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3" fontId="53" fillId="21" borderId="81" xfId="0" applyNumberFormat="1" applyFont="1" applyFill="1" applyBorder="1" applyAlignment="1" applyProtection="1">
      <alignment horizontal="center" vertical="center"/>
    </xf>
    <xf numFmtId="0" fontId="53" fillId="21" borderId="66" xfId="0" applyFont="1" applyFill="1" applyBorder="1" applyAlignment="1" applyProtection="1">
      <alignment horizontal="center" vertical="center"/>
    </xf>
    <xf numFmtId="3" fontId="7" fillId="23" borderId="25" xfId="0" applyNumberFormat="1" applyFont="1" applyFill="1" applyBorder="1" applyAlignment="1" applyProtection="1">
      <alignment horizontal="left" indent="5"/>
    </xf>
    <xf numFmtId="3" fontId="7" fillId="23" borderId="68" xfId="0" applyNumberFormat="1" applyFont="1" applyFill="1" applyBorder="1" applyAlignment="1" applyProtection="1">
      <alignment horizontal="left" indent="5"/>
    </xf>
    <xf numFmtId="3" fontId="48" fillId="23" borderId="73" xfId="0" applyNumberFormat="1" applyFont="1" applyFill="1" applyBorder="1" applyAlignment="1" applyProtection="1">
      <alignment horizontal="left" indent="7"/>
    </xf>
    <xf numFmtId="3" fontId="48" fillId="23" borderId="74" xfId="0" applyNumberFormat="1" applyFont="1" applyFill="1" applyBorder="1" applyAlignment="1" applyProtection="1">
      <alignment horizontal="left" indent="7"/>
    </xf>
    <xf numFmtId="167" fontId="41" fillId="6" borderId="72" xfId="0" applyNumberFormat="1" applyFont="1" applyFill="1" applyBorder="1" applyAlignment="1" applyProtection="1">
      <alignment horizontal="left" indent="5"/>
    </xf>
    <xf numFmtId="167" fontId="41" fillId="6" borderId="74" xfId="0" applyNumberFormat="1" applyFont="1" applyFill="1" applyBorder="1" applyAlignment="1" applyProtection="1">
      <alignment horizontal="left" indent="5"/>
    </xf>
    <xf numFmtId="167" fontId="7" fillId="6" borderId="71" xfId="0" applyNumberFormat="1" applyFont="1" applyFill="1" applyBorder="1" applyAlignment="1" applyProtection="1">
      <alignment horizontal="left" vertical="center" indent="4"/>
    </xf>
    <xf numFmtId="167" fontId="7" fillId="6" borderId="68" xfId="0" applyNumberFormat="1" applyFont="1" applyFill="1" applyBorder="1" applyAlignment="1" applyProtection="1">
      <alignment horizontal="left" vertical="center" indent="4"/>
    </xf>
    <xf numFmtId="3" fontId="7" fillId="6" borderId="86" xfId="0" applyNumberFormat="1" applyFont="1" applyFill="1" applyBorder="1" applyAlignment="1" applyProtection="1">
      <alignment horizontal="left" indent="5"/>
    </xf>
    <xf numFmtId="3" fontId="7" fillId="6" borderId="87" xfId="0" applyNumberFormat="1" applyFont="1" applyFill="1" applyBorder="1" applyAlignment="1" applyProtection="1">
      <alignment horizontal="left" indent="5"/>
    </xf>
    <xf numFmtId="3" fontId="48" fillId="6" borderId="88" xfId="0" applyNumberFormat="1" applyFont="1" applyFill="1" applyBorder="1" applyAlignment="1" applyProtection="1">
      <alignment horizontal="left" indent="7"/>
    </xf>
    <xf numFmtId="3" fontId="48" fillId="6" borderId="89" xfId="0" applyNumberFormat="1" applyFont="1" applyFill="1" applyBorder="1" applyAlignment="1" applyProtection="1">
      <alignment horizontal="left" indent="7"/>
    </xf>
    <xf numFmtId="167" fontId="0" fillId="16" borderId="86" xfId="0" applyNumberFormat="1" applyFill="1" applyBorder="1" applyAlignment="1" applyProtection="1">
      <alignment horizontal="center"/>
    </xf>
    <xf numFmtId="167" fontId="0" fillId="16" borderId="87" xfId="0" applyNumberFormat="1" applyFill="1" applyBorder="1" applyAlignment="1" applyProtection="1">
      <alignment horizontal="center"/>
    </xf>
    <xf numFmtId="167" fontId="0" fillId="16" borderId="88" xfId="0" applyNumberFormat="1" applyFill="1" applyBorder="1" applyAlignment="1" applyProtection="1">
      <alignment horizontal="center"/>
    </xf>
    <xf numFmtId="167" fontId="0" fillId="16" borderId="89" xfId="0" applyNumberFormat="1" applyFill="1" applyBorder="1" applyAlignment="1" applyProtection="1">
      <alignment horizontal="center"/>
    </xf>
    <xf numFmtId="3" fontId="44" fillId="6" borderId="0" xfId="0" applyNumberFormat="1" applyFont="1" applyFill="1" applyBorder="1" applyAlignment="1">
      <alignment horizontal="left" indent="7"/>
    </xf>
    <xf numFmtId="3" fontId="44" fillId="6" borderId="89" xfId="0" applyNumberFormat="1" applyFont="1" applyFill="1" applyBorder="1" applyAlignment="1">
      <alignment horizontal="left" indent="7"/>
    </xf>
    <xf numFmtId="0" fontId="0" fillId="0" borderId="89" xfId="0" applyBorder="1" applyAlignment="1">
      <alignment horizontal="left" indent="7"/>
    </xf>
    <xf numFmtId="167" fontId="7" fillId="6" borderId="71" xfId="0" applyNumberFormat="1" applyFont="1" applyFill="1" applyBorder="1" applyAlignment="1" applyProtection="1">
      <alignment horizontal="left" vertical="center" indent="4"/>
      <protection locked="0"/>
    </xf>
    <xf numFmtId="0" fontId="7" fillId="6" borderId="68" xfId="0" applyFont="1" applyFill="1" applyBorder="1" applyAlignment="1">
      <alignment horizontal="left" vertical="center" indent="4"/>
    </xf>
    <xf numFmtId="167" fontId="41" fillId="6" borderId="72" xfId="0" applyNumberFormat="1" applyFont="1" applyFill="1" applyBorder="1" applyAlignment="1" applyProtection="1">
      <alignment horizontal="left" indent="5"/>
      <protection locked="0"/>
    </xf>
    <xf numFmtId="0" fontId="41" fillId="6" borderId="74" xfId="0" applyFont="1" applyFill="1" applyBorder="1" applyAlignment="1">
      <alignment horizontal="left" indent="5"/>
    </xf>
    <xf numFmtId="167" fontId="0" fillId="16" borderId="86" xfId="0" applyNumberFormat="1" applyFill="1" applyBorder="1" applyAlignment="1" applyProtection="1">
      <alignment horizontal="center"/>
      <protection locked="0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9" xfId="0" applyBorder="1" applyAlignment="1">
      <alignment horizontal="center"/>
    </xf>
    <xf numFmtId="3" fontId="0" fillId="23" borderId="68" xfId="0" applyNumberFormat="1" applyFill="1" applyBorder="1" applyAlignment="1">
      <alignment horizontal="left" indent="5"/>
    </xf>
    <xf numFmtId="0" fontId="0" fillId="0" borderId="68" xfId="0" applyBorder="1" applyAlignment="1">
      <alignment horizontal="left" indent="5"/>
    </xf>
    <xf numFmtId="3" fontId="44" fillId="23" borderId="74" xfId="0" applyNumberFormat="1" applyFont="1" applyFill="1" applyBorder="1" applyAlignment="1">
      <alignment horizontal="left" indent="7"/>
    </xf>
    <xf numFmtId="0" fontId="0" fillId="0" borderId="74" xfId="0" applyBorder="1" applyAlignment="1">
      <alignment horizontal="left" indent="7"/>
    </xf>
    <xf numFmtId="3" fontId="0" fillId="6" borderId="87" xfId="0" applyNumberFormat="1" applyFill="1" applyBorder="1" applyAlignment="1">
      <alignment horizontal="left" indent="5"/>
    </xf>
    <xf numFmtId="0" fontId="0" fillId="0" borderId="87" xfId="0" applyBorder="1" applyAlignment="1">
      <alignment horizontal="left" indent="5"/>
    </xf>
    <xf numFmtId="0" fontId="53" fillId="21" borderId="66" xfId="0" applyFont="1" applyFill="1" applyBorder="1" applyAlignment="1">
      <alignment horizontal="center" vertical="center"/>
    </xf>
  </cellXfs>
  <cellStyles count="862">
    <cellStyle name="Followed Hyperlink" xfId="717" builtinId="9" hidden="1"/>
    <cellStyle name="Followed Hyperlink" xfId="73" builtinId="9" hidden="1"/>
    <cellStyle name="Followed Hyperlink" xfId="605" builtinId="9" hidden="1"/>
    <cellStyle name="Followed Hyperlink" xfId="325" builtinId="9" hidden="1"/>
    <cellStyle name="Followed Hyperlink" xfId="347" builtinId="9" hidden="1"/>
    <cellStyle name="Followed Hyperlink" xfId="19" builtinId="9" hidden="1"/>
    <cellStyle name="Followed Hyperlink" xfId="689" builtinId="9" hidden="1"/>
    <cellStyle name="Followed Hyperlink" xfId="771" builtinId="9" hidden="1"/>
    <cellStyle name="Followed Hyperlink" xfId="287" builtinId="9" hidden="1"/>
    <cellStyle name="Followed Hyperlink" xfId="345" builtinId="9" hidden="1"/>
    <cellStyle name="Followed Hyperlink" xfId="349" builtinId="9" hidden="1"/>
    <cellStyle name="Followed Hyperlink" xfId="67" builtinId="9" hidden="1"/>
    <cellStyle name="Followed Hyperlink" xfId="567" builtinId="9" hidden="1"/>
    <cellStyle name="Followed Hyperlink" xfId="205" builtinId="9" hidden="1"/>
    <cellStyle name="Followed Hyperlink" xfId="825" builtinId="9" hidden="1"/>
    <cellStyle name="Followed Hyperlink" xfId="107" builtinId="9" hidden="1"/>
    <cellStyle name="Followed Hyperlink" xfId="35" builtinId="9" hidden="1"/>
    <cellStyle name="Followed Hyperlink" xfId="655" builtinId="9" hidden="1"/>
    <cellStyle name="Followed Hyperlink" xfId="597" builtinId="9" hidden="1"/>
    <cellStyle name="Followed Hyperlink" xfId="535" builtinId="9" hidden="1"/>
    <cellStyle name="Followed Hyperlink" xfId="633" builtinId="9" hidden="1"/>
    <cellStyle name="Followed Hyperlink" xfId="153" builtinId="9" hidden="1"/>
    <cellStyle name="Followed Hyperlink" xfId="847" builtinId="9" hidden="1"/>
    <cellStyle name="Followed Hyperlink" xfId="815" builtinId="9" hidden="1"/>
    <cellStyle name="Followed Hyperlink" xfId="339" builtinId="9" hidden="1"/>
    <cellStyle name="Followed Hyperlink" xfId="447" builtinId="9" hidden="1"/>
    <cellStyle name="Followed Hyperlink" xfId="381" builtinId="9" hidden="1"/>
    <cellStyle name="Followed Hyperlink" xfId="805" builtinId="9" hidden="1"/>
    <cellStyle name="Followed Hyperlink" xfId="735" builtinId="9" hidden="1"/>
    <cellStyle name="Followed Hyperlink" xfId="511" builtinId="9" hidden="1"/>
    <cellStyle name="Followed Hyperlink" xfId="361" builtinId="9" hidden="1"/>
    <cellStyle name="Followed Hyperlink" xfId="261" builtinId="9" hidden="1"/>
    <cellStyle name="Followed Hyperlink" xfId="311" builtinId="9" hidden="1"/>
    <cellStyle name="Followed Hyperlink" xfId="659" builtinId="9" hidden="1"/>
    <cellStyle name="Followed Hyperlink" xfId="133" builtinId="9" hidden="1"/>
    <cellStyle name="Followed Hyperlink" xfId="729" builtinId="9" hidden="1"/>
    <cellStyle name="Followed Hyperlink" xfId="731" builtinId="9" hidden="1"/>
    <cellStyle name="Followed Hyperlink" xfId="163" builtinId="9" hidden="1"/>
    <cellStyle name="Followed Hyperlink" xfId="643" builtinId="9" hidden="1"/>
    <cellStyle name="Followed Hyperlink" xfId="187" builtinId="9" hidden="1"/>
    <cellStyle name="Followed Hyperlink" xfId="201" builtinId="9" hidden="1"/>
    <cellStyle name="Followed Hyperlink" xfId="321" builtinId="9" hidden="1"/>
    <cellStyle name="Followed Hyperlink" xfId="580" builtinId="9" hidden="1"/>
    <cellStyle name="Followed Hyperlink" xfId="785" builtinId="9" hidden="1"/>
    <cellStyle name="Followed Hyperlink" xfId="523" builtinId="9" hidden="1"/>
    <cellStyle name="Followed Hyperlink" xfId="329" builtinId="9" hidden="1"/>
    <cellStyle name="Followed Hyperlink" xfId="51" builtinId="9" hidden="1"/>
    <cellStyle name="Followed Hyperlink" xfId="401" builtinId="9" hidden="1"/>
    <cellStyle name="Followed Hyperlink" xfId="373" builtinId="9" hidden="1"/>
    <cellStyle name="Followed Hyperlink" xfId="283" builtinId="9" hidden="1"/>
    <cellStyle name="Followed Hyperlink" xfId="839" builtinId="9" hidden="1"/>
    <cellStyle name="Followed Hyperlink" xfId="649" builtinId="9" hidden="1"/>
    <cellStyle name="Followed Hyperlink" xfId="239" builtinId="9" hidden="1"/>
    <cellStyle name="Followed Hyperlink" xfId="429" builtinId="9" hidden="1"/>
    <cellStyle name="Followed Hyperlink" xfId="584" builtinId="9" hidden="1"/>
    <cellStyle name="Followed Hyperlink" xfId="571" builtinId="9" hidden="1"/>
    <cellStyle name="Followed Hyperlink" xfId="439" builtinId="9" hidden="1"/>
    <cellStyle name="Followed Hyperlink" xfId="823" builtinId="9" hidden="1"/>
    <cellStyle name="Followed Hyperlink" xfId="415" builtinId="9" hidden="1"/>
    <cellStyle name="Followed Hyperlink" xfId="503" builtinId="9" hidden="1"/>
    <cellStyle name="Followed Hyperlink" xfId="295" builtinId="9" hidden="1"/>
    <cellStyle name="Followed Hyperlink" xfId="479" builtinId="9" hidden="1"/>
    <cellStyle name="Followed Hyperlink" xfId="165" builtinId="9" hidden="1"/>
    <cellStyle name="Followed Hyperlink" xfId="473" builtinId="9" hidden="1"/>
    <cellStyle name="Followed Hyperlink" xfId="769" builtinId="9" hidden="1"/>
    <cellStyle name="Followed Hyperlink" xfId="691" builtinId="9" hidden="1"/>
    <cellStyle name="Followed Hyperlink" xfId="131" builtinId="9" hidden="1"/>
    <cellStyle name="Followed Hyperlink" xfId="355" builtinId="9" hidden="1"/>
    <cellStyle name="Followed Hyperlink" xfId="379" builtinId="9" hidden="1"/>
    <cellStyle name="Followed Hyperlink" xfId="143" builtinId="9" hidden="1"/>
    <cellStyle name="Followed Hyperlink" xfId="487" builtinId="9" hidden="1"/>
    <cellStyle name="Followed Hyperlink" xfId="715" builtinId="9" hidden="1"/>
    <cellStyle name="Followed Hyperlink" xfId="745" builtinId="9" hidden="1"/>
    <cellStyle name="Followed Hyperlink" xfId="253" builtinId="9" hidden="1"/>
    <cellStyle name="Followed Hyperlink" xfId="185" builtinId="9" hidden="1"/>
    <cellStyle name="Followed Hyperlink" xfId="441" builtinId="9" hidden="1"/>
    <cellStyle name="Followed Hyperlink" xfId="121" builtinId="9" hidden="1"/>
    <cellStyle name="Followed Hyperlink" xfId="607" builtinId="9" hidden="1"/>
    <cellStyle name="Followed Hyperlink" xfId="93" builtinId="9" hidden="1"/>
    <cellStyle name="Followed Hyperlink" xfId="111" builtinId="9" hidden="1"/>
    <cellStyle name="Followed Hyperlink" xfId="599" builtinId="9" hidden="1"/>
    <cellStyle name="Followed Hyperlink" xfId="69" builtinId="9" hidden="1"/>
    <cellStyle name="Followed Hyperlink" xfId="693" builtinId="9" hidden="1"/>
    <cellStyle name="Followed Hyperlink" xfId="175" builtinId="9" hidden="1"/>
    <cellStyle name="Followed Hyperlink" xfId="227" builtinId="9" hidden="1"/>
    <cellStyle name="Followed Hyperlink" xfId="645" builtinId="9" hidden="1"/>
    <cellStyle name="Followed Hyperlink" xfId="623" builtinId="9" hidden="1"/>
    <cellStyle name="Followed Hyperlink" xfId="625" builtinId="9" hidden="1"/>
    <cellStyle name="Followed Hyperlink" xfId="243" builtinId="9" hidden="1"/>
    <cellStyle name="Followed Hyperlink" xfId="89" builtinId="9" hidden="1"/>
    <cellStyle name="Followed Hyperlink" xfId="257" builtinId="9" hidden="1"/>
    <cellStyle name="Followed Hyperlink" xfId="531" builtinId="9" hidden="1"/>
    <cellStyle name="Followed Hyperlink" xfId="141" builtinId="9" hidden="1"/>
    <cellStyle name="Followed Hyperlink" xfId="809" builtinId="9" hidden="1"/>
    <cellStyle name="Followed Hyperlink" xfId="594" builtinId="9" hidden="1"/>
    <cellStyle name="Followed Hyperlink" xfId="635" builtinId="9" hidden="1"/>
    <cellStyle name="Followed Hyperlink" xfId="231" builtinId="9" hidden="1"/>
    <cellStyle name="Followed Hyperlink" xfId="517" builtinId="9" hidden="1"/>
    <cellStyle name="Followed Hyperlink" xfId="61" builtinId="9" hidden="1"/>
    <cellStyle name="Followed Hyperlink" xfId="233" builtinId="9" hidden="1"/>
    <cellStyle name="Followed Hyperlink" xfId="755" builtinId="9" hidden="1"/>
    <cellStyle name="Followed Hyperlink" xfId="705" builtinId="9" hidden="1"/>
    <cellStyle name="Followed Hyperlink" xfId="421" builtinId="9" hidden="1"/>
    <cellStyle name="Followed Hyperlink" xfId="59" builtinId="9" hidden="1"/>
    <cellStyle name="Followed Hyperlink" xfId="159" builtinId="9" hidden="1"/>
    <cellStyle name="Followed Hyperlink" xfId="127" builtinId="9" hidden="1"/>
    <cellStyle name="Followed Hyperlink" xfId="223" builtinId="9" hidden="1"/>
    <cellStyle name="Followed Hyperlink" xfId="701" builtinId="9" hidden="1"/>
    <cellStyle name="Followed Hyperlink" xfId="759" builtinId="9" hidden="1"/>
    <cellStyle name="Followed Hyperlink" xfId="177" builtinId="9" hidden="1"/>
    <cellStyle name="Followed Hyperlink" xfId="43" builtinId="9" hidden="1"/>
    <cellStyle name="Followed Hyperlink" xfId="675" builtinId="9" hidden="1"/>
    <cellStyle name="Followed Hyperlink" xfId="85" builtinId="9" hidden="1"/>
    <cellStyle name="Followed Hyperlink" xfId="467" builtinId="9" hidden="1"/>
    <cellStyle name="Followed Hyperlink" xfId="5" builtinId="9" hidden="1"/>
    <cellStyle name="Followed Hyperlink" xfId="813" builtinId="9" hidden="1"/>
    <cellStyle name="Followed Hyperlink" xfId="237" builtinId="9" hidden="1"/>
    <cellStyle name="Followed Hyperlink" xfId="29" builtinId="9" hidden="1"/>
    <cellStyle name="Followed Hyperlink" xfId="641" builtinId="9" hidden="1"/>
    <cellStyle name="Followed Hyperlink" xfId="101" builtinId="9" hidden="1"/>
    <cellStyle name="Followed Hyperlink" xfId="309" builtinId="9" hidden="1"/>
    <cellStyle name="Followed Hyperlink" xfId="631" builtinId="9" hidden="1"/>
    <cellStyle name="Followed Hyperlink" xfId="849" builtinId="9" hidden="1"/>
    <cellStyle name="Followed Hyperlink" xfId="469" builtinId="9" hidden="1"/>
    <cellStyle name="Followed Hyperlink" xfId="17" builtinId="9" hidden="1"/>
    <cellStyle name="Followed Hyperlink" xfId="63" builtinId="9" hidden="1"/>
    <cellStyle name="Followed Hyperlink" xfId="385" builtinId="9" hidden="1"/>
    <cellStyle name="Followed Hyperlink" xfId="301" builtinId="9" hidden="1"/>
    <cellStyle name="Followed Hyperlink" xfId="21" builtinId="9" hidden="1"/>
    <cellStyle name="Followed Hyperlink" xfId="795" builtinId="9" hidden="1"/>
    <cellStyle name="Followed Hyperlink" xfId="95" builtinId="9" hidden="1"/>
    <cellStyle name="Followed Hyperlink" xfId="613" builtinId="9" hidden="1"/>
    <cellStyle name="Followed Hyperlink" xfId="275" builtinId="9" hidden="1"/>
    <cellStyle name="Followed Hyperlink" xfId="303" builtinId="9" hidden="1"/>
    <cellStyle name="Followed Hyperlink" xfId="97" builtinId="9" hidden="1"/>
    <cellStyle name="Followed Hyperlink" xfId="259" builtinId="9" hidden="1"/>
    <cellStyle name="Followed Hyperlink" xfId="741" builtinId="9" hidden="1"/>
    <cellStyle name="Followed Hyperlink" xfId="783" builtinId="9" hidden="1"/>
    <cellStyle name="Followed Hyperlink" xfId="757" builtinId="9" hidden="1"/>
    <cellStyle name="Followed Hyperlink" xfId="169" builtinId="9" hidden="1"/>
    <cellStyle name="Followed Hyperlink" xfId="125" builtinId="9" hidden="1"/>
    <cellStyle name="Followed Hyperlink" xfId="453" builtinId="9" hidden="1"/>
    <cellStyle name="Followed Hyperlink" xfId="773" builtinId="9" hidden="1"/>
    <cellStyle name="Followed Hyperlink" xfId="799" builtinId="9" hidden="1"/>
    <cellStyle name="Followed Hyperlink" xfId="335" builtinId="9" hidden="1"/>
    <cellStyle name="Followed Hyperlink" xfId="463" builtinId="9" hidden="1"/>
    <cellStyle name="Followed Hyperlink" xfId="383" builtinId="9" hidden="1"/>
    <cellStyle name="Followed Hyperlink" xfId="533" builtinId="9" hidden="1"/>
    <cellStyle name="Followed Hyperlink" xfId="137" builtinId="9" hidden="1"/>
    <cellStyle name="Followed Hyperlink" xfId="45" builtinId="9" hidden="1"/>
    <cellStyle name="Followed Hyperlink" xfId="485" builtinId="9" hidden="1"/>
    <cellStyle name="Followed Hyperlink" xfId="827" builtinId="9" hidden="1"/>
    <cellStyle name="Followed Hyperlink" xfId="397" builtinId="9" hidden="1"/>
    <cellStyle name="Followed Hyperlink" xfId="15" builtinId="9" hidden="1"/>
    <cellStyle name="Followed Hyperlink" xfId="389" builtinId="9" hidden="1"/>
    <cellStyle name="Followed Hyperlink" xfId="365" builtinId="9" hidden="1"/>
    <cellStyle name="Followed Hyperlink" xfId="91" builtinId="9" hidden="1"/>
    <cellStyle name="Followed Hyperlink" xfId="617" builtinId="9" hidden="1"/>
    <cellStyle name="Followed Hyperlink" xfId="835" builtinId="9" hidden="1"/>
    <cellStyle name="Followed Hyperlink" xfId="31" builtinId="9" hidden="1"/>
    <cellStyle name="Followed Hyperlink" xfId="213" builtinId="9" hidden="1"/>
    <cellStyle name="Followed Hyperlink" xfId="151" builtinId="9" hidden="1"/>
    <cellStyle name="Followed Hyperlink" xfId="315" builtinId="9" hidden="1"/>
    <cellStyle name="Followed Hyperlink" xfId="181" builtinId="9" hidden="1"/>
    <cellStyle name="Followed Hyperlink" xfId="161" builtinId="9" hidden="1"/>
    <cellStyle name="Followed Hyperlink" xfId="781" builtinId="9" hidden="1"/>
    <cellStyle name="Followed Hyperlink" xfId="47" builtinId="9" hidden="1"/>
    <cellStyle name="Followed Hyperlink" xfId="417" builtinId="9" hidden="1"/>
    <cellStyle name="Followed Hyperlink" xfId="629" builtinId="9" hidden="1"/>
    <cellStyle name="Followed Hyperlink" xfId="621" builtinId="9" hidden="1"/>
    <cellStyle name="Followed Hyperlink" xfId="513" builtinId="9" hidden="1"/>
    <cellStyle name="Followed Hyperlink" xfId="209" builtinId="9" hidden="1"/>
    <cellStyle name="Followed Hyperlink" xfId="727" builtinId="9" hidden="1"/>
    <cellStyle name="Followed Hyperlink" xfId="733" builtinId="9" hidden="1"/>
    <cellStyle name="Followed Hyperlink" xfId="435" builtinId="9" hidden="1"/>
    <cellStyle name="Followed Hyperlink" xfId="627" builtinId="9" hidden="1"/>
    <cellStyle name="Followed Hyperlink" xfId="255" builtinId="9" hidden="1"/>
    <cellStyle name="Followed Hyperlink" xfId="203" builtinId="9" hidden="1"/>
    <cellStyle name="Followed Hyperlink" xfId="363" builtinId="9" hidden="1"/>
    <cellStyle name="Followed Hyperlink" xfId="371" builtinId="9" hidden="1"/>
    <cellStyle name="Followed Hyperlink" xfId="787" builtinId="9" hidden="1"/>
    <cellStyle name="Followed Hyperlink" xfId="471" builtinId="9" hidden="1"/>
    <cellStyle name="Followed Hyperlink" xfId="811" builtinId="9" hidden="1"/>
    <cellStyle name="Followed Hyperlink" xfId="683" builtinId="9" hidden="1"/>
    <cellStyle name="Followed Hyperlink" xfId="543" builtinId="9" hidden="1"/>
    <cellStyle name="Followed Hyperlink" xfId="307" builtinId="9" hidden="1"/>
    <cellStyle name="Followed Hyperlink" xfId="279" builtinId="9" hidden="1"/>
    <cellStyle name="Followed Hyperlink" xfId="451" builtinId="9" hidden="1"/>
    <cellStyle name="Followed Hyperlink" xfId="157" builtinId="9" hidden="1"/>
    <cellStyle name="Followed Hyperlink" xfId="653" builtinId="9" hidden="1"/>
    <cellStyle name="Followed Hyperlink" xfId="489" builtinId="9" hidden="1"/>
    <cellStyle name="Followed Hyperlink" xfId="115" builtinId="9" hidden="1"/>
    <cellStyle name="Followed Hyperlink" xfId="519" builtinId="9" hidden="1"/>
    <cellStyle name="Followed Hyperlink" xfId="219" builtinId="9" hidden="1"/>
    <cellStyle name="Followed Hyperlink" xfId="491" builtinId="9" hidden="1"/>
    <cellStyle name="Followed Hyperlink" xfId="777" builtinId="9" hidden="1"/>
    <cellStyle name="Followed Hyperlink" xfId="399" builtinId="9" hidden="1"/>
    <cellStyle name="Followed Hyperlink" xfId="553" builtinId="9" hidden="1"/>
    <cellStyle name="Followed Hyperlink" xfId="195" builtinId="9" hidden="1"/>
    <cellStyle name="Followed Hyperlink" xfId="619" builtinId="9" hidden="1"/>
    <cellStyle name="Followed Hyperlink" xfId="665" builtinId="9" hidden="1"/>
    <cellStyle name="Followed Hyperlink" xfId="713" builtinId="9" hidden="1"/>
    <cellStyle name="Followed Hyperlink" xfId="563" builtinId="9" hidden="1"/>
    <cellStyle name="Followed Hyperlink" xfId="841" builtinId="9" hidden="1"/>
    <cellStyle name="Followed Hyperlink" xfId="443" builtinId="9" hidden="1"/>
    <cellStyle name="Followed Hyperlink" xfId="285" builtinId="9" hidden="1"/>
    <cellStyle name="Followed Hyperlink" xfId="569" builtinId="9" hidden="1"/>
    <cellStyle name="Followed Hyperlink" xfId="225" builtinId="9" hidden="1"/>
    <cellStyle name="Followed Hyperlink" xfId="337" builtinId="9" hidden="1"/>
    <cellStyle name="Followed Hyperlink" xfId="313" builtinId="9" hidden="1"/>
    <cellStyle name="Followed Hyperlink" xfId="41" builtinId="9" hidden="1"/>
    <cellStyle name="Followed Hyperlink" xfId="77" builtinId="9" hidden="1"/>
    <cellStyle name="Followed Hyperlink" xfId="57" builtinId="9" hidden="1"/>
    <cellStyle name="Followed Hyperlink" xfId="747" builtinId="9" hidden="1"/>
    <cellStyle name="Followed Hyperlink" xfId="661" builtinId="9" hidden="1"/>
    <cellStyle name="Followed Hyperlink" xfId="65" builtinId="9" hidden="1"/>
    <cellStyle name="Followed Hyperlink" xfId="801" builtinId="9" hidden="1"/>
    <cellStyle name="Followed Hyperlink" xfId="445" builtinId="9" hidden="1"/>
    <cellStyle name="Followed Hyperlink" xfId="419" builtinId="9" hidden="1"/>
    <cellStyle name="Followed Hyperlink" xfId="103" builtinId="9" hidden="1"/>
    <cellStyle name="Followed Hyperlink" xfId="592" builtinId="9" hidden="1"/>
    <cellStyle name="Followed Hyperlink" xfId="215" builtinId="9" hidden="1"/>
    <cellStyle name="Followed Hyperlink" xfId="590" builtinId="9" hidden="1"/>
    <cellStyle name="Followed Hyperlink" xfId="855" builtinId="9" hidden="1"/>
    <cellStyle name="Followed Hyperlink" xfId="577" builtinId="9" hidden="1"/>
    <cellStyle name="Followed Hyperlink" xfId="527" builtinId="9" hidden="1"/>
    <cellStyle name="Followed Hyperlink" xfId="377" builtinId="9" hidden="1"/>
    <cellStyle name="Followed Hyperlink" xfId="49" builtinId="9" hidden="1"/>
    <cellStyle name="Followed Hyperlink" xfId="359" builtinId="9" hidden="1"/>
    <cellStyle name="Followed Hyperlink" xfId="549" builtinId="9" hidden="1"/>
    <cellStyle name="Followed Hyperlink" xfId="807" builtinId="9" hidden="1"/>
    <cellStyle name="Followed Hyperlink" xfId="129" builtinId="9" hidden="1"/>
    <cellStyle name="Followed Hyperlink" xfId="651" builtinId="9" hidden="1"/>
    <cellStyle name="Followed Hyperlink" xfId="393" builtinId="9" hidden="1"/>
    <cellStyle name="Followed Hyperlink" xfId="609" builtinId="9" hidden="1"/>
    <cellStyle name="Followed Hyperlink" xfId="147" builtinId="9" hidden="1"/>
    <cellStyle name="Followed Hyperlink" xfId="221" builtinId="9" hidden="1"/>
    <cellStyle name="Followed Hyperlink" xfId="753" builtinId="9" hidden="1"/>
    <cellStyle name="Followed Hyperlink" xfId="707" builtinId="9" hidden="1"/>
    <cellStyle name="Followed Hyperlink" xfId="167" builtinId="9" hidden="1"/>
    <cellStyle name="Followed Hyperlink" xfId="135" builtinId="9" hidden="1"/>
    <cellStyle name="Followed Hyperlink" xfId="433" builtinId="9" hidden="1"/>
    <cellStyle name="Followed Hyperlink" xfId="545" builtinId="9" hidden="1"/>
    <cellStyle name="Followed Hyperlink" xfId="247" builtinId="9" hidden="1"/>
    <cellStyle name="Followed Hyperlink" xfId="699" builtinId="9" hidden="1"/>
    <cellStyle name="Followed Hyperlink" xfId="761" builtinId="9" hidden="1"/>
    <cellStyle name="Followed Hyperlink" xfId="333" builtinId="9" hidden="1"/>
    <cellStyle name="Followed Hyperlink" xfId="11" builtinId="9" hidden="1"/>
    <cellStyle name="Followed Hyperlink" xfId="173" builtinId="9" hidden="1"/>
    <cellStyle name="Followed Hyperlink" xfId="27" builtinId="9" hidden="1"/>
    <cellStyle name="Followed Hyperlink" xfId="291" builtinId="9" hidden="1"/>
    <cellStyle name="Followed Hyperlink" xfId="25" builtinId="9" hidden="1"/>
    <cellStyle name="Followed Hyperlink" xfId="719" builtinId="9" hidden="1"/>
    <cellStyle name="Followed Hyperlink" xfId="821" builtinId="9" hidden="1"/>
    <cellStyle name="Followed Hyperlink" xfId="687" builtinId="9" hidden="1"/>
    <cellStyle name="Followed Hyperlink" xfId="427" builtinId="9" hidden="1"/>
    <cellStyle name="Followed Hyperlink" xfId="71" builtinId="9" hidden="1"/>
    <cellStyle name="Followed Hyperlink" xfId="751" builtinId="9" hidden="1"/>
    <cellStyle name="Followed Hyperlink" xfId="853" builtinId="9" hidden="1"/>
    <cellStyle name="Followed Hyperlink" xfId="703" builtinId="9" hidden="1"/>
    <cellStyle name="Followed Hyperlink" xfId="105" builtinId="9" hidden="1"/>
    <cellStyle name="Followed Hyperlink" xfId="183" builtinId="9" hidden="1"/>
    <cellStyle name="Followed Hyperlink" xfId="405" builtinId="9" hidden="1"/>
    <cellStyle name="Followed Hyperlink" xfId="191" builtinId="9" hidden="1"/>
    <cellStyle name="Followed Hyperlink" xfId="449" builtinId="9" hidden="1"/>
    <cellStyle name="Followed Hyperlink" xfId="179" builtinId="9" hidden="1"/>
    <cellStyle name="Followed Hyperlink" xfId="793" builtinId="9" hidden="1"/>
    <cellStyle name="Followed Hyperlink" xfId="123" builtinId="9" hidden="1"/>
    <cellStyle name="Followed Hyperlink" xfId="495" builtinId="9" hidden="1"/>
    <cellStyle name="Followed Hyperlink" xfId="505" builtinId="9" hidden="1"/>
    <cellStyle name="Followed Hyperlink" xfId="387" builtinId="9" hidden="1"/>
    <cellStyle name="Followed Hyperlink" xfId="351" builtinId="9" hidden="1"/>
    <cellStyle name="Followed Hyperlink" xfId="481" builtinId="9" hidden="1"/>
    <cellStyle name="Followed Hyperlink" xfId="739" builtinId="9" hidden="1"/>
    <cellStyle name="Followed Hyperlink" xfId="721" builtinId="9" hidden="1"/>
    <cellStyle name="Followed Hyperlink" xfId="457" builtinId="9" hidden="1"/>
    <cellStyle name="Followed Hyperlink" xfId="637" builtinId="9" hidden="1"/>
    <cellStyle name="Followed Hyperlink" xfId="459" builtinId="9" hidden="1"/>
    <cellStyle name="Followed Hyperlink" xfId="297" builtinId="9" hidden="1"/>
    <cellStyle name="Followed Hyperlink" xfId="241" builtinId="9" hidden="1"/>
    <cellStyle name="Followed Hyperlink" xfId="685" builtinId="9" hidden="1"/>
    <cellStyle name="Followed Hyperlink" xfId="775" builtinId="9" hidden="1"/>
    <cellStyle name="Followed Hyperlink" xfId="497" builtinId="9" hidden="1"/>
    <cellStyle name="Followed Hyperlink" xfId="667" builtinId="9" hidden="1"/>
    <cellStyle name="Followed Hyperlink" xfId="353" builtinId="9" hidden="1"/>
    <cellStyle name="Followed Hyperlink" xfId="357" builtinId="9" hidden="1"/>
    <cellStyle name="Followed Hyperlink" xfId="117" builtinId="9" hidden="1"/>
    <cellStyle name="Followed Hyperlink" xfId="525" builtinId="9" hidden="1"/>
    <cellStyle name="Followed Hyperlink" xfId="829" builtinId="9" hidden="1"/>
    <cellStyle name="Followed Hyperlink" xfId="423" builtinId="9" hidden="1"/>
    <cellStyle name="Followed Hyperlink" xfId="403" builtinId="9" hidden="1"/>
    <cellStyle name="Followed Hyperlink" xfId="639" builtinId="9" hidden="1"/>
    <cellStyle name="Followed Hyperlink" xfId="465" builtinId="9" hidden="1"/>
    <cellStyle name="Followed Hyperlink" xfId="499" builtinId="9" hidden="1"/>
    <cellStyle name="Followed Hyperlink" xfId="601" builtinId="9" hidden="1"/>
    <cellStyle name="Followed Hyperlink" xfId="833" builtinId="9" hidden="1"/>
    <cellStyle name="Followed Hyperlink" xfId="229" builtinId="9" hidden="1"/>
    <cellStyle name="Followed Hyperlink" xfId="493" builtinId="9" hidden="1"/>
    <cellStyle name="Followed Hyperlink" xfId="75" builtinId="9" hidden="1"/>
    <cellStyle name="Followed Hyperlink" xfId="375" builtinId="9" hidden="1"/>
    <cellStyle name="Followed Hyperlink" xfId="425" builtinId="9" hidden="1"/>
    <cellStyle name="Followed Hyperlink" xfId="578" builtinId="9" hidden="1"/>
    <cellStyle name="Followed Hyperlink" xfId="779" builtinId="9" hidden="1"/>
    <cellStyle name="Followed Hyperlink" xfId="681" builtinId="9" hidden="1"/>
    <cellStyle name="Followed Hyperlink" xfId="437" builtinId="9" hidden="1"/>
    <cellStyle name="Followed Hyperlink" xfId="555" builtinId="9" hidden="1"/>
    <cellStyle name="Followed Hyperlink" xfId="507" builtinId="9" hidden="1"/>
    <cellStyle name="Followed Hyperlink" xfId="547" builtinId="9" hidden="1"/>
    <cellStyle name="Followed Hyperlink" xfId="83" builtinId="9" hidden="1"/>
    <cellStyle name="Followed Hyperlink" xfId="7" builtinId="9" hidden="1"/>
    <cellStyle name="Followed Hyperlink" xfId="189" builtinId="9" hidden="1"/>
    <cellStyle name="Followed Hyperlink" xfId="171" builtinId="9" hidden="1"/>
    <cellStyle name="Followed Hyperlink" xfId="539" builtinId="9" hidden="1"/>
    <cellStyle name="Followed Hyperlink" xfId="725" builtinId="9" hidden="1"/>
    <cellStyle name="Followed Hyperlink" xfId="235" builtinId="9" hidden="1"/>
    <cellStyle name="Followed Hyperlink" xfId="281" builtinId="9" hidden="1"/>
    <cellStyle name="Followed Hyperlink" xfId="79" builtinId="9" hidden="1"/>
    <cellStyle name="Followed Hyperlink" xfId="319" builtinId="9" hidden="1"/>
    <cellStyle name="Followed Hyperlink" xfId="559" builtinId="9" hidden="1"/>
    <cellStyle name="Followed Hyperlink" xfId="671" builtinId="9" hidden="1"/>
    <cellStyle name="Followed Hyperlink" xfId="669" builtinId="9" hidden="1"/>
    <cellStyle name="Followed Hyperlink" xfId="211" builtinId="9" hidden="1"/>
    <cellStyle name="Followed Hyperlink" xfId="33" builtinId="9" hidden="1"/>
    <cellStyle name="Followed Hyperlink" xfId="87" builtinId="9" hidden="1"/>
    <cellStyle name="Followed Hyperlink" xfId="843" builtinId="9" hidden="1"/>
    <cellStyle name="Followed Hyperlink" xfId="679" builtinId="9" hidden="1"/>
    <cellStyle name="Followed Hyperlink" xfId="119" builtinId="9" hidden="1"/>
    <cellStyle name="Followed Hyperlink" xfId="395" builtinId="9" hidden="1"/>
    <cellStyle name="Followed Hyperlink" xfId="267" builtinId="9" hidden="1"/>
    <cellStyle name="Followed Hyperlink" xfId="515" builtinId="9" hidden="1"/>
    <cellStyle name="Followed Hyperlink" xfId="249" builtinId="9" hidden="1"/>
    <cellStyle name="Followed Hyperlink" xfId="819" builtinId="9" hidden="1"/>
    <cellStyle name="Followed Hyperlink" xfId="9" builtinId="9" hidden="1"/>
    <cellStyle name="Followed Hyperlink" xfId="323" builtinId="9" hidden="1"/>
    <cellStyle name="Followed Hyperlink" xfId="12" builtinId="9" hidden="1"/>
    <cellStyle name="Followed Hyperlink" xfId="575" builtinId="9" hidden="1"/>
    <cellStyle name="Followed Hyperlink" xfId="529" builtinId="9" hidden="1"/>
    <cellStyle name="Followed Hyperlink" xfId="561" builtinId="9" hidden="1"/>
    <cellStyle name="Followed Hyperlink" xfId="765" builtinId="9" hidden="1"/>
    <cellStyle name="Followed Hyperlink" xfId="695" builtinId="9" hidden="1"/>
    <cellStyle name="Followed Hyperlink" xfId="39" builtinId="9" hidden="1"/>
    <cellStyle name="Followed Hyperlink" xfId="331" builtinId="9" hidden="1"/>
    <cellStyle name="Followed Hyperlink" xfId="263" builtinId="9" hidden="1"/>
    <cellStyle name="Followed Hyperlink" xfId="407" builtinId="9" hidden="1"/>
    <cellStyle name="Followed Hyperlink" xfId="299" builtinId="9" hidden="1"/>
    <cellStyle name="Followed Hyperlink" xfId="711" builtinId="9" hidden="1"/>
    <cellStyle name="Followed Hyperlink" xfId="749" builtinId="9" hidden="1"/>
    <cellStyle name="Followed Hyperlink" xfId="343" builtinId="9" hidden="1"/>
    <cellStyle name="Followed Hyperlink" xfId="81" builtinId="9" hidden="1"/>
    <cellStyle name="Followed Hyperlink" xfId="673" builtinId="9" hidden="1"/>
    <cellStyle name="Followed Hyperlink" xfId="582" builtinId="9" hidden="1"/>
    <cellStyle name="Followed Hyperlink" xfId="677" builtinId="9" hidden="1"/>
    <cellStyle name="Followed Hyperlink" xfId="193" builtinId="9" hidden="1"/>
    <cellStyle name="Followed Hyperlink" xfId="803" builtinId="9" hidden="1"/>
    <cellStyle name="Followed Hyperlink" xfId="197" builtinId="9" hidden="1"/>
    <cellStyle name="Followed Hyperlink" xfId="367" builtinId="9" hidden="1"/>
    <cellStyle name="Followed Hyperlink" xfId="521" builtinId="9" hidden="1"/>
    <cellStyle name="Followed Hyperlink" xfId="207" builtinId="9" hidden="1"/>
    <cellStyle name="Followed Hyperlink" xfId="341" builtinId="9" hidden="1"/>
    <cellStyle name="Followed Hyperlink" xfId="537" builtinId="9" hidden="1"/>
    <cellStyle name="Followed Hyperlink" xfId="857" builtinId="9" hidden="1"/>
    <cellStyle name="Followed Hyperlink" xfId="586" builtinId="9" hidden="1"/>
    <cellStyle name="Followed Hyperlink" xfId="391" builtinId="9" hidden="1"/>
    <cellStyle name="Followed Hyperlink" xfId="565" builtinId="9" hidden="1"/>
    <cellStyle name="Followed Hyperlink" xfId="573" builtinId="9" hidden="1"/>
    <cellStyle name="Followed Hyperlink" xfId="265" builtinId="9" hidden="1"/>
    <cellStyle name="Followed Hyperlink" xfId="509" builtinId="9" hidden="1"/>
    <cellStyle name="Followed Hyperlink" xfId="293" builtinId="9" hidden="1"/>
    <cellStyle name="Followed Hyperlink" xfId="831" builtinId="9" hidden="1"/>
    <cellStyle name="Followed Hyperlink" xfId="837" builtinId="9" hidden="1"/>
    <cellStyle name="Followed Hyperlink" xfId="647" builtinId="9" hidden="1"/>
    <cellStyle name="Followed Hyperlink" xfId="409" builtinId="9" hidden="1"/>
    <cellStyle name="Followed Hyperlink" xfId="289" builtinId="9" hidden="1"/>
    <cellStyle name="Followed Hyperlink" xfId="789" builtinId="9" hidden="1"/>
    <cellStyle name="Followed Hyperlink" xfId="767" builtinId="9" hidden="1"/>
    <cellStyle name="Followed Hyperlink" xfId="709" builtinId="9" hidden="1"/>
    <cellStyle name="Followed Hyperlink" xfId="113" builtinId="9" hidden="1"/>
    <cellStyle name="Followed Hyperlink" xfId="245" builtinId="9" hidden="1"/>
    <cellStyle name="Followed Hyperlink" xfId="1" builtinId="9" hidden="1"/>
    <cellStyle name="Followed Hyperlink" xfId="541" builtinId="9" hidden="1"/>
    <cellStyle name="Followed Hyperlink" xfId="369" builtinId="9" hidden="1"/>
    <cellStyle name="Followed Hyperlink" xfId="697" builtinId="9" hidden="1"/>
    <cellStyle name="Followed Hyperlink" xfId="763" builtinId="9" hidden="1"/>
    <cellStyle name="Followed Hyperlink" xfId="551" builtinId="9" hidden="1"/>
    <cellStyle name="Followed Hyperlink" xfId="199" builtinId="9" hidden="1"/>
    <cellStyle name="Followed Hyperlink" xfId="271" builtinId="9" hidden="1"/>
    <cellStyle name="Followed Hyperlink" xfId="477" builtinId="9" hidden="1"/>
    <cellStyle name="Followed Hyperlink" xfId="455" builtinId="9" hidden="1"/>
    <cellStyle name="Followed Hyperlink" xfId="3" builtinId="9" hidden="1"/>
    <cellStyle name="Followed Hyperlink" xfId="817" builtinId="9" hidden="1"/>
    <cellStyle name="Followed Hyperlink" xfId="277" builtinId="9" hidden="1"/>
    <cellStyle name="Followed Hyperlink" xfId="273" builtinId="9" hidden="1"/>
    <cellStyle name="Followed Hyperlink" xfId="657" builtinId="9" hidden="1"/>
    <cellStyle name="Followed Hyperlink" xfId="145" builtinId="9" hidden="1"/>
    <cellStyle name="Followed Hyperlink" xfId="55" builtinId="9" hidden="1"/>
    <cellStyle name="Followed Hyperlink" xfId="663" builtinId="9" hidden="1"/>
    <cellStyle name="Followed Hyperlink" xfId="845" builtinId="9" hidden="1"/>
    <cellStyle name="Followed Hyperlink" xfId="475" builtinId="9" hidden="1"/>
    <cellStyle name="Followed Hyperlink" xfId="251" builtinId="9" hidden="1"/>
    <cellStyle name="Followed Hyperlink" xfId="461" builtinId="9" hidden="1"/>
    <cellStyle name="Followed Hyperlink" xfId="53" builtinId="9" hidden="1"/>
    <cellStyle name="Followed Hyperlink" xfId="109" builtinId="9" hidden="1"/>
    <cellStyle name="Followed Hyperlink" xfId="797" builtinId="9" hidden="1"/>
    <cellStyle name="Followed Hyperlink" xfId="411" builtinId="9" hidden="1"/>
    <cellStyle name="Followed Hyperlink" xfId="23" builtinId="9" hidden="1"/>
    <cellStyle name="Followed Hyperlink" xfId="317" builtinId="9" hidden="1"/>
    <cellStyle name="Followed Hyperlink" xfId="501" builtinId="9" hidden="1"/>
    <cellStyle name="Followed Hyperlink" xfId="269" builtinId="9" hidden="1"/>
    <cellStyle name="Followed Hyperlink" xfId="611" builtinId="9" hidden="1"/>
    <cellStyle name="Followed Hyperlink" xfId="99" builtinId="9" hidden="1"/>
    <cellStyle name="Followed Hyperlink" xfId="327" builtinId="9" hidden="1"/>
    <cellStyle name="Followed Hyperlink" xfId="217" builtinId="9" hidden="1"/>
    <cellStyle name="Followed Hyperlink" xfId="743" builtinId="9" hidden="1"/>
    <cellStyle name="Followed Hyperlink" xfId="149" builtinId="9" hidden="1"/>
    <cellStyle name="Followed Hyperlink" xfId="557" builtinId="9" hidden="1"/>
    <cellStyle name="Followed Hyperlink" xfId="603" builtinId="9" hidden="1"/>
    <cellStyle name="Followed Hyperlink" xfId="791" builtinId="9" hidden="1"/>
    <cellStyle name="Followed Hyperlink" xfId="431" builtinId="9" hidden="1"/>
    <cellStyle name="Followed Hyperlink" xfId="305" builtinId="9" hidden="1"/>
    <cellStyle name="Followed Hyperlink" xfId="737" builtinId="9" hidden="1"/>
    <cellStyle name="Followed Hyperlink" xfId="37" builtinId="9" hidden="1"/>
    <cellStyle name="Followed Hyperlink" xfId="483" builtinId="9" hidden="1"/>
    <cellStyle name="Followed Hyperlink" xfId="139" builtinId="9" hidden="1"/>
    <cellStyle name="Followed Hyperlink" xfId="155" builtinId="9" hidden="1"/>
    <cellStyle name="Followed Hyperlink" xfId="588" builtinId="9" hidden="1"/>
    <cellStyle name="Followed Hyperlink" xfId="723" builtinId="9" hidden="1"/>
    <cellStyle name="Followed Hyperlink" xfId="851" builtinId="9" hidden="1"/>
    <cellStyle name="Followed Hyperlink" xfId="615" builtinId="9" hidden="1"/>
    <cellStyle name="Followed Hyperlink" xfId="413" builtinId="9" hidden="1"/>
    <cellStyle name="Followed Hyperlink" xfId="859" builtinId="9" hidden="1"/>
    <cellStyle name="Followed Hyperlink" xfId="861" builtinId="9" hidden="1"/>
    <cellStyle name="Hyperlink" xfId="484" builtinId="8" hidden="1"/>
    <cellStyle name="Hyperlink" xfId="40" builtinId="8" hidden="1"/>
    <cellStyle name="Hyperlink" xfId="250" builtinId="8" hidden="1"/>
    <cellStyle name="Hyperlink" xfId="302" builtinId="8" hidden="1"/>
    <cellStyle name="Hyperlink" xfId="288" builtinId="8" hidden="1"/>
    <cellStyle name="Hyperlink" xfId="13" builtinId="8" hidden="1"/>
    <cellStyle name="Hyperlink" xfId="464" builtinId="8" hidden="1"/>
    <cellStyle name="Hyperlink" xfId="540" builtinId="8" hidden="1"/>
    <cellStyle name="Hyperlink" xfId="262" builtinId="8" hidden="1"/>
    <cellStyle name="Hyperlink" xfId="220" builtinId="8" hidden="1"/>
    <cellStyle name="Hyperlink" xfId="686" builtinId="8" hidden="1"/>
    <cellStyle name="Hyperlink" xfId="704" builtinId="8" hidden="1"/>
    <cellStyle name="Hyperlink" xfId="694" builtinId="8" hidden="1"/>
    <cellStyle name="Hyperlink" xfId="658" builtinId="8" hidden="1"/>
    <cellStyle name="Hyperlink" xfId="634" builtinId="8" hidden="1"/>
    <cellStyle name="Hyperlink" xfId="426" builtinId="8" hidden="1"/>
    <cellStyle name="Hyperlink" xfId="526" builtinId="8" hidden="1"/>
    <cellStyle name="Hyperlink" xfId="246" builtinId="8" hidden="1"/>
    <cellStyle name="Hyperlink" xfId="356" builtinId="8" hidden="1"/>
    <cellStyle name="Hyperlink" xfId="260" builtinId="8" hidden="1"/>
    <cellStyle name="Hyperlink" xfId="522" builtinId="8" hidden="1"/>
    <cellStyle name="Hyperlink" xfId="80" builtinId="8" hidden="1"/>
    <cellStyle name="Hyperlink" xfId="216" builtinId="8" hidden="1"/>
    <cellStyle name="Hyperlink" xfId="296" builtinId="8" hidden="1"/>
    <cellStyle name="Hyperlink" xfId="390" builtinId="8" hidden="1"/>
    <cellStyle name="Hyperlink" xfId="536" builtinId="8" hidden="1"/>
    <cellStyle name="Hyperlink" xfId="672" builtinId="8" hidden="1"/>
    <cellStyle name="Hyperlink" xfId="282" builtinId="8" hidden="1"/>
    <cellStyle name="Hyperlink" xfId="242" builtinId="8" hidden="1"/>
    <cellStyle name="Hyperlink" xfId="468" builtinId="8" hidden="1"/>
    <cellStyle name="Hyperlink" xfId="82" builtinId="8" hidden="1"/>
    <cellStyle name="Hyperlink" xfId="100" builtinId="8" hidden="1"/>
    <cellStyle name="Hyperlink" xfId="240" builtinId="8" hidden="1"/>
    <cellStyle name="Hyperlink" xfId="130" builtinId="8" hidden="1"/>
    <cellStyle name="Hyperlink" xfId="202" builtinId="8" hidden="1"/>
    <cellStyle name="Hyperlink" xfId="138" builtinId="8" hidden="1"/>
    <cellStyle name="Hyperlink" xfId="320" builtinId="8" hidden="1"/>
    <cellStyle name="Hyperlink" xfId="422" builtinId="8" hidden="1"/>
    <cellStyle name="Hyperlink" xfId="362" builtinId="8" hidden="1"/>
    <cellStyle name="Hyperlink" xfId="280" builtinId="8" hidden="1"/>
    <cellStyle name="Hyperlink" xfId="528" builtinId="8" hidden="1"/>
    <cellStyle name="Hyperlink" xfId="6" builtinId="8" hidden="1"/>
    <cellStyle name="Hyperlink" xfId="98" builtinId="8" hidden="1"/>
    <cellStyle name="Hyperlink" xfId="322" builtinId="8" hidden="1"/>
    <cellStyle name="Hyperlink" xfId="258" builtinId="8" hidden="1"/>
    <cellStyle name="Hyperlink" xfId="680" builtinId="8" hidden="1"/>
    <cellStyle name="Hyperlink" xfId="562" builtinId="8" hidden="1"/>
    <cellStyle name="Hyperlink" xfId="52" builtinId="8" hidden="1"/>
    <cellStyle name="Hyperlink" xfId="26" builtinId="8" hidden="1"/>
    <cellStyle name="Hyperlink" xfId="472" builtinId="8" hidden="1"/>
    <cellStyle name="Hyperlink" xfId="570" builtinId="8" hidden="1"/>
    <cellStyle name="Hyperlink" xfId="424" builtinId="8" hidden="1"/>
    <cellStyle name="Hyperlink" xfId="214" builtinId="8" hidden="1"/>
    <cellStyle name="Hyperlink" xfId="456" builtinId="8" hidden="1"/>
    <cellStyle name="Hyperlink" xfId="366" builtinId="8" hidden="1"/>
    <cellStyle name="Hyperlink" xfId="20" builtinId="8" hidden="1"/>
    <cellStyle name="Hyperlink" xfId="538" builtinId="8" hidden="1"/>
    <cellStyle name="Hyperlink" xfId="490" builtinId="8" hidden="1"/>
    <cellStyle name="Hyperlink" xfId="496" builtinId="8" hidden="1"/>
    <cellStyle name="Hyperlink" xfId="314" builtinId="8" hidden="1"/>
    <cellStyle name="Hyperlink" xfId="378" builtinId="8" hidden="1"/>
    <cellStyle name="Hyperlink" xfId="334" builtinId="8" hidden="1"/>
    <cellStyle name="Hyperlink" xfId="370" builtinId="8" hidden="1"/>
    <cellStyle name="Hyperlink" xfId="662" builtinId="8" hidden="1"/>
    <cellStyle name="Hyperlink" xfId="78" builtinId="8" hidden="1"/>
    <cellStyle name="Hyperlink" xfId="70" builtinId="8" hidden="1"/>
    <cellStyle name="Hyperlink" xfId="840" builtinId="8" hidden="1"/>
    <cellStyle name="Hyperlink" xfId="812" builtinId="8" hidden="1"/>
    <cellStyle name="Hyperlink" xfId="726" builtinId="8" hidden="1"/>
    <cellStyle name="Hyperlink" xfId="844" builtinId="8" hidden="1"/>
    <cellStyle name="Hyperlink" xfId="290" builtinId="8" hidden="1"/>
    <cellStyle name="Hyperlink" xfId="595" builtinId="8" hidden="1"/>
    <cellStyle name="Hyperlink" xfId="846" builtinId="8" hidden="1"/>
    <cellStyle name="Hyperlink" xfId="558" builtinId="8" hidden="1"/>
    <cellStyle name="Hyperlink" xfId="96" builtinId="8" hidden="1"/>
    <cellStyle name="Hyperlink" xfId="90" builtinId="8" hidden="1"/>
    <cellStyle name="Hyperlink" xfId="410" builtinId="8" hidden="1"/>
    <cellStyle name="Hyperlink" xfId="636" builtinId="8" hidden="1"/>
    <cellStyle name="Hyperlink" xfId="396" builtinId="8" hidden="1"/>
    <cellStyle name="Hyperlink" xfId="454" builtinId="8" hidden="1"/>
    <cellStyle name="Hyperlink" xfId="64" builtinId="8" hidden="1"/>
    <cellStyle name="Hyperlink" xfId="28" builtinId="8" hidden="1"/>
    <cellStyle name="Hyperlink" xfId="140" builtinId="8" hidden="1"/>
    <cellStyle name="Hyperlink" xfId="585" builtinId="8" hidden="1"/>
    <cellStyle name="Hyperlink" xfId="394" builtinId="8" hidden="1"/>
    <cellStyle name="Hyperlink" xfId="368" builtinId="8" hidden="1"/>
    <cellStyle name="Hyperlink" xfId="618" builtinId="8" hidden="1"/>
    <cellStyle name="Hyperlink" xfId="596" builtinId="8" hidden="1"/>
    <cellStyle name="Hyperlink" xfId="284" builtinId="8" hidden="1"/>
    <cellStyle name="Hyperlink" xfId="350" builtinId="8" hidden="1"/>
    <cellStyle name="Hyperlink" xfId="416" builtinId="8" hidden="1"/>
    <cellStyle name="Hyperlink" xfId="772" builtinId="8" hidden="1"/>
    <cellStyle name="Hyperlink" xfId="360" builtinId="8" hidden="1"/>
    <cellStyle name="Hyperlink" xfId="234" builtinId="8" hidden="1"/>
    <cellStyle name="Hyperlink" xfId="718" builtinId="8" hidden="1"/>
    <cellStyle name="Hyperlink" xfId="344" builtinId="8" hidden="1"/>
    <cellStyle name="Hyperlink" xfId="576" builtinId="8" hidden="1"/>
    <cellStyle name="Hyperlink" xfId="462" builtinId="8" hidden="1"/>
    <cellStyle name="Hyperlink" xfId="400" builtinId="8" hidden="1"/>
    <cellStyle name="Hyperlink" xfId="48" builtinId="8" hidden="1"/>
    <cellStyle name="Hyperlink" xfId="186" builtinId="8" hidden="1"/>
    <cellStyle name="Hyperlink" xfId="546" builtinId="8" hidden="1"/>
    <cellStyle name="Hyperlink" xfId="222" builtinId="8" hidden="1"/>
    <cellStyle name="Hyperlink" xfId="236" builtinId="8" hidden="1"/>
    <cellStyle name="Hyperlink" xfId="566" builtinId="8" hidden="1"/>
    <cellStyle name="Hyperlink" xfId="330" builtinId="8" hidden="1"/>
    <cellStyle name="Hyperlink" xfId="698" builtinId="8" hidden="1"/>
    <cellStyle name="Hyperlink" xfId="794" builtinId="8" hidden="1"/>
    <cellStyle name="Hyperlink" xfId="826" builtinId="8" hidden="1"/>
    <cellStyle name="Hyperlink" xfId="824" builtinId="8" hidden="1"/>
    <cellStyle name="Hyperlink" xfId="804" builtinId="8" hidden="1"/>
    <cellStyle name="Hyperlink" xfId="750" builtinId="8" hidden="1"/>
    <cellStyle name="Hyperlink" xfId="212" builtinId="8" hidden="1"/>
    <cellStyle name="Hyperlink" xfId="196" builtinId="8" hidden="1"/>
    <cellStyle name="Hyperlink" xfId="268" builtinId="8" hidden="1"/>
    <cellStyle name="Hyperlink" xfId="270" builtinId="8" hidden="1"/>
    <cellStyle name="Hyperlink" xfId="380" builtinId="8" hidden="1"/>
    <cellStyle name="Hyperlink" xfId="292" builtinId="8" hidden="1"/>
    <cellStyle name="Hyperlink" xfId="524" builtinId="8" hidden="1"/>
    <cellStyle name="Hyperlink" xfId="432" builtinId="8" hidden="1"/>
    <cellStyle name="Hyperlink" xfId="306" builtinId="8" hidden="1"/>
    <cellStyle name="Hyperlink" xfId="676" builtinId="8" hidden="1"/>
    <cellStyle name="Hyperlink" xfId="612" builtinId="8" hidden="1"/>
    <cellStyle name="Hyperlink" xfId="488" builtinId="8" hidden="1"/>
    <cellStyle name="Hyperlink" xfId="336" builtinId="8" hidden="1"/>
    <cellStyle name="Hyperlink" xfId="492" builtinId="8" hidden="1"/>
    <cellStyle name="Hyperlink" xfId="436" builtinId="8" hidden="1"/>
    <cellStyle name="Hyperlink" xfId="632" builtinId="8" hidden="1"/>
    <cellStyle name="Hyperlink" xfId="648" builtinId="8" hidden="1"/>
    <cellStyle name="Hyperlink" xfId="664" builtinId="8" hidden="1"/>
    <cellStyle name="Hyperlink" xfId="616" builtinId="8" hidden="1"/>
    <cellStyle name="Hyperlink" xfId="622" builtinId="8" hidden="1"/>
    <cellStyle name="Hyperlink" xfId="326" builtinId="8" hidden="1"/>
    <cellStyle name="Hyperlink" xfId="688" builtinId="8" hidden="1"/>
    <cellStyle name="Hyperlink" xfId="696" builtinId="8" hidden="1"/>
    <cellStyle name="Hyperlink" xfId="702" builtinId="8" hidden="1"/>
    <cellStyle name="Hyperlink" xfId="716" builtinId="8" hidden="1"/>
    <cellStyle name="Hyperlink" xfId="724" builtinId="8" hidden="1"/>
    <cellStyle name="Hyperlink" xfId="656" builtinId="8" hidden="1"/>
    <cellStyle name="Hyperlink" xfId="652" builtinId="8" hidden="1"/>
    <cellStyle name="Hyperlink" xfId="534" builtinId="8" hidden="1"/>
    <cellStyle name="Hyperlink" xfId="514" builtinId="8" hidden="1"/>
    <cellStyle name="Hyperlink" xfId="642" builtinId="8" hidden="1"/>
    <cellStyle name="Hyperlink" xfId="192" builtinId="8" hidden="1"/>
    <cellStyle name="Hyperlink" xfId="392" builtinId="8" hidden="1"/>
    <cellStyle name="Hyperlink" xfId="782" builtinId="8" hidden="1"/>
    <cellStyle name="Hyperlink" xfId="226" builtinId="8" hidden="1"/>
    <cellStyle name="Hyperlink" xfId="606" builtinId="8" hidden="1"/>
    <cellStyle name="Hyperlink" xfId="600" builtinId="8" hidden="1"/>
    <cellStyle name="Hyperlink" xfId="84" builtinId="8" hidden="1"/>
    <cellStyle name="Hyperlink" xfId="678" builtinId="8" hidden="1"/>
    <cellStyle name="Hyperlink" xfId="760" builtinId="8" hidden="1"/>
    <cellStyle name="Hyperlink" xfId="568" builtinId="8" hidden="1"/>
    <cellStyle name="Hyperlink" xfId="512" builtinId="8" hidden="1"/>
    <cellStyle name="Hyperlink" xfId="556" builtinId="8" hidden="1"/>
    <cellStyle name="Hyperlink" xfId="768" builtinId="8" hidden="1"/>
    <cellStyle name="Hyperlink" xfId="774" builtinId="8" hidden="1"/>
    <cellStyle name="Hyperlink" xfId="744" builtinId="8" hidden="1"/>
    <cellStyle name="Hyperlink" xfId="732" builtinId="8" hidden="1"/>
    <cellStyle name="Hyperlink" xfId="734" builtinId="8" hidden="1"/>
    <cellStyle name="Hyperlink" xfId="776" builtinId="8" hidden="1"/>
    <cellStyle name="Hyperlink" xfId="764" builtinId="8" hidden="1"/>
    <cellStyle name="Hyperlink" xfId="820" builtinId="8" hidden="1"/>
    <cellStyle name="Hyperlink" xfId="790" builtinId="8" hidden="1"/>
    <cellStyle name="Hyperlink" xfId="660" builtinId="8" hidden="1"/>
    <cellStyle name="Hyperlink" xfId="602" builtinId="8" hidden="1"/>
    <cellStyle name="Hyperlink" xfId="810" builtinId="8" hidden="1"/>
    <cellStyle name="Hyperlink" xfId="850" builtinId="8" hidden="1"/>
    <cellStyle name="Hyperlink" xfId="466" builtinId="8" hidden="1"/>
    <cellStyle name="Hyperlink" xfId="198" builtinId="8" hidden="1"/>
    <cellStyle name="Hyperlink" xfId="278" builtinId="8" hidden="1"/>
    <cellStyle name="Hyperlink" xfId="42" builtinId="8" hidden="1"/>
    <cellStyle name="Hyperlink" xfId="32" builtinId="8" hidden="1"/>
    <cellStyle name="Hyperlink" xfId="318" builtinId="8" hidden="1"/>
    <cellStyle name="Hyperlink" xfId="342" builtinId="8" hidden="1"/>
    <cellStyle name="Hyperlink" xfId="136" builtinId="8" hidden="1"/>
    <cellStyle name="Hyperlink" xfId="518" builtinId="8" hidden="1"/>
    <cellStyle name="Hyperlink" xfId="128" builtinId="8" hidden="1"/>
    <cellStyle name="Hyperlink" xfId="150" builtinId="8" hidden="1"/>
    <cellStyle name="Hyperlink" xfId="274" builtinId="8" hidden="1"/>
    <cellStyle name="Hyperlink" xfId="24" builtinId="8" hidden="1"/>
    <cellStyle name="Hyperlink" xfId="460" builtinId="8" hidden="1"/>
    <cellStyle name="Hyperlink" xfId="620" builtinId="8" hidden="1"/>
    <cellStyle name="Hyperlink" xfId="593" builtinId="8" hidden="1"/>
    <cellStyle name="Hyperlink" xfId="780" builtinId="8" hidden="1"/>
    <cellStyle name="Hyperlink" xfId="784" builtinId="8" hidden="1"/>
    <cellStyle name="Hyperlink" xfId="788" builtinId="8" hidden="1"/>
    <cellStyle name="Hyperlink" xfId="800" builtinId="8" hidden="1"/>
    <cellStyle name="Hyperlink" xfId="808" builtinId="8" hidden="1"/>
    <cellStyle name="Hyperlink" xfId="816" builtinId="8" hidden="1"/>
    <cellStyle name="Hyperlink" xfId="828" builtinId="8" hidden="1"/>
    <cellStyle name="Hyperlink" xfId="752" builtinId="8" hidden="1"/>
    <cellStyle name="Hyperlink" xfId="756" builtinId="8" hidden="1"/>
    <cellStyle name="Hyperlink" xfId="770" builtinId="8" hidden="1"/>
    <cellStyle name="Hyperlink" xfId="746" builtinId="8" hidden="1"/>
    <cellStyle name="Hyperlink" xfId="738" builtinId="8" hidden="1"/>
    <cellStyle name="Hyperlink" xfId="690" builtinId="8" hidden="1"/>
    <cellStyle name="Hyperlink" xfId="682" builtinId="8" hidden="1"/>
    <cellStyle name="Hyperlink" xfId="666" builtinId="8" hidden="1"/>
    <cellStyle name="Hyperlink" xfId="854" builtinId="8" hidden="1"/>
    <cellStyle name="Hyperlink" xfId="834" builtinId="8" hidden="1"/>
    <cellStyle name="Hyperlink" xfId="818" builtinId="8" hidden="1"/>
    <cellStyle name="Hyperlink" xfId="848" builtinId="8" hidden="1"/>
    <cellStyle name="Hyperlink" xfId="852" builtinId="8" hidden="1"/>
    <cellStyle name="Hyperlink" xfId="838" builtinId="8" hidden="1"/>
    <cellStyle name="Hyperlink" xfId="802" builtinId="8" hidden="1"/>
    <cellStyle name="Hyperlink" xfId="654" builtinId="8" hidden="1"/>
    <cellStyle name="Hyperlink" xfId="706" builtinId="8" hidden="1"/>
    <cellStyle name="Hyperlink" xfId="758" builtinId="8" hidden="1"/>
    <cellStyle name="Hyperlink" xfId="822" builtinId="8" hidden="1"/>
    <cellStyle name="Hyperlink" xfId="798" builtinId="8" hidden="1"/>
    <cellStyle name="Hyperlink" xfId="102" builtinId="8" hidden="1"/>
    <cellStyle name="Hyperlink" xfId="510" builtinId="8" hidden="1"/>
    <cellStyle name="Hyperlink" xfId="324" builtinId="8" hidden="1"/>
    <cellStyle name="Hyperlink" xfId="50" builtinId="8" hidden="1"/>
    <cellStyle name="Hyperlink" xfId="587" builtinId="8" hidden="1"/>
    <cellStyle name="Hyperlink" xfId="254" builtinId="8" hidden="1"/>
    <cellStyle name="Hyperlink" xfId="754" builtinId="8" hidden="1"/>
    <cellStyle name="Hyperlink" xfId="806" builtinId="8" hidden="1"/>
    <cellStyle name="Hyperlink" xfId="748" builtinId="8" hidden="1"/>
    <cellStyle name="Hyperlink" xfId="736" builtinId="8" hidden="1"/>
    <cellStyle name="Hyperlink" xfId="450" builtinId="8" hidden="1"/>
    <cellStyle name="Hyperlink" xfId="204" builtinId="8" hidden="1"/>
    <cellStyle name="Hyperlink" xfId="720" builtinId="8" hidden="1"/>
    <cellStyle name="Hyperlink" xfId="478" builtinId="8" hidden="1"/>
    <cellStyle name="Hyperlink" xfId="624" builtinId="8" hidden="1"/>
    <cellStyle name="Hyperlink" xfId="112" builtinId="8" hidden="1"/>
    <cellStyle name="Hyperlink" xfId="710" builtinId="8" hidden="1"/>
    <cellStyle name="Hyperlink" xfId="684" builtinId="8" hidden="1"/>
    <cellStyle name="Hyperlink" xfId="670" builtinId="8" hidden="1"/>
    <cellStyle name="Hyperlink" xfId="8" builtinId="8" hidden="1"/>
    <cellStyle name="Hyperlink" xfId="120" builtinId="8" hidden="1"/>
    <cellStyle name="Hyperlink" xfId="374" builtinId="8" hidden="1"/>
    <cellStyle name="Hyperlink" xfId="286" builtinId="8" hidden="1"/>
    <cellStyle name="Hyperlink" xfId="248" builtinId="8" hidden="1"/>
    <cellStyle name="Hyperlink" xfId="740" builtinId="8" hidden="1"/>
    <cellStyle name="Hyperlink" xfId="836" builtinId="8" hidden="1"/>
    <cellStyle name="Hyperlink" xfId="638" builtinId="8" hidden="1"/>
    <cellStyle name="Hyperlink" xfId="256" builtinId="8" hidden="1"/>
    <cellStyle name="Hyperlink" xfId="264" builtinId="8" hidden="1"/>
    <cellStyle name="Hyperlink" xfId="516" builtinId="8" hidden="1"/>
    <cellStyle name="Hyperlink" xfId="470" builtinId="8" hidden="1"/>
    <cellStyle name="Hyperlink" xfId="188" builtinId="8" hidden="1"/>
    <cellStyle name="Hyperlink" xfId="86" builtinId="8" hidden="1"/>
    <cellStyle name="Hyperlink" xfId="412" builtinId="8" hidden="1"/>
    <cellStyle name="Hyperlink" xfId="338" builtinId="8" hidden="1"/>
    <cellStyle name="Hyperlink" xfId="420" builtinId="8" hidden="1"/>
    <cellStyle name="Hyperlink" xfId="156" builtinId="8" hidden="1"/>
    <cellStyle name="Hyperlink" xfId="500" builtinId="8" hidden="1"/>
    <cellStyle name="Hyperlink" xfId="354" builtinId="8" hidden="1"/>
    <cellStyle name="Hyperlink" xfId="614" builtinId="8" hidden="1"/>
    <cellStyle name="Hyperlink" xfId="184" builtinId="8" hidden="1"/>
    <cellStyle name="Hyperlink" xfId="168" builtinId="8" hidden="1"/>
    <cellStyle name="Hyperlink" xfId="108" builtinId="8" hidden="1"/>
    <cellStyle name="Hyperlink" xfId="428" builtinId="8" hidden="1"/>
    <cellStyle name="Hyperlink" xfId="386" builtinId="8" hidden="1"/>
    <cellStyle name="Hyperlink" xfId="508" builtinId="8" hidden="1"/>
    <cellStyle name="Hyperlink" xfId="520" builtinId="8" hidden="1"/>
    <cellStyle name="Hyperlink" xfId="458" builtinId="8" hidden="1"/>
    <cellStyle name="Hyperlink" xfId="406" builtinId="8" hidden="1"/>
    <cellStyle name="Hyperlink" xfId="442" builtinId="8" hidden="1"/>
    <cellStyle name="Hyperlink" xfId="72" builtinId="8" hidden="1"/>
    <cellStyle name="Hyperlink" xfId="276" builtinId="8" hidden="1"/>
    <cellStyle name="Hyperlink" xfId="444" builtinId="8" hidden="1"/>
    <cellStyle name="Hyperlink" xfId="446" builtinId="8" hidden="1"/>
    <cellStyle name="Hyperlink" xfId="76" builtinId="8" hidden="1"/>
    <cellStyle name="Hyperlink" xfId="628" builtinId="8" hidden="1"/>
    <cellStyle name="Hyperlink" xfId="332" builtinId="8" hidden="1"/>
    <cellStyle name="Hyperlink" xfId="610" builtinId="8" hidden="1"/>
    <cellStyle name="Hyperlink" xfId="30" builtinId="8" hidden="1"/>
    <cellStyle name="Hyperlink" xfId="404" builtinId="8" hidden="1"/>
    <cellStyle name="Hyperlink" xfId="160" builtinId="8" hidden="1"/>
    <cellStyle name="Hyperlink" xfId="591" builtinId="8" hidden="1"/>
    <cellStyle name="Hyperlink" xfId="44" builtinId="8" hidden="1"/>
    <cellStyle name="Hyperlink" xfId="170" builtinId="8" hidden="1"/>
    <cellStyle name="Hyperlink" xfId="328" builtinId="8" hidden="1"/>
    <cellStyle name="Hyperlink" xfId="272" builtinId="8" hidden="1"/>
    <cellStyle name="Hyperlink" xfId="60" builtinId="8" hidden="1"/>
    <cellStyle name="Hyperlink" xfId="506" builtinId="8" hidden="1"/>
    <cellStyle name="Hyperlink" xfId="560" builtinId="8" hidden="1"/>
    <cellStyle name="Hyperlink" xfId="134" builtinId="8" hidden="1"/>
    <cellStyle name="Hyperlink" xfId="164" builtinId="8" hidden="1"/>
    <cellStyle name="Hyperlink" xfId="778" builtinId="8" hidden="1"/>
    <cellStyle name="Hyperlink" xfId="832" builtinId="8" hidden="1"/>
    <cellStyle name="Hyperlink" xfId="742" builtinId="8" hidden="1"/>
    <cellStyle name="Hyperlink" xfId="766" builtinId="8" hidden="1"/>
    <cellStyle name="Hyperlink" xfId="830" builtinId="8" hidden="1"/>
    <cellStyle name="Hyperlink" xfId="796" builtinId="8" hidden="1"/>
    <cellStyle name="Hyperlink" xfId="158" builtinId="8" hidden="1"/>
    <cellStyle name="Hyperlink" xfId="722" builtinId="8" hidden="1"/>
    <cellStyle name="Hyperlink" xfId="786" builtinId="8" hidden="1"/>
    <cellStyle name="Hyperlink" xfId="842" builtinId="8" hidden="1"/>
    <cellStyle name="Hyperlink" xfId="728" builtinId="8" hidden="1"/>
    <cellStyle name="Hyperlink" xfId="814" builtinId="8" hidden="1"/>
    <cellStyle name="Hyperlink" xfId="730" builtinId="8" hidden="1"/>
    <cellStyle name="Hyperlink" xfId="550" builtinId="8" hidden="1"/>
    <cellStyle name="Hyperlink" xfId="498" builtinId="8" hidden="1"/>
    <cellStyle name="Hyperlink" xfId="364" builtinId="8" hidden="1"/>
    <cellStyle name="Hyperlink" xfId="178" builtinId="8" hidden="1"/>
    <cellStyle name="Hyperlink" xfId="124" builtinId="8" hidden="1"/>
    <cellStyle name="Hyperlink" xfId="14" builtinId="8" hidden="1"/>
    <cellStyle name="Hyperlink" xfId="502" builtinId="8" hidden="1"/>
    <cellStyle name="Hyperlink" xfId="4" builtinId="8" hidden="1"/>
    <cellStyle name="Hyperlink" xfId="230" builtinId="8" hidden="1"/>
    <cellStyle name="Hyperlink" xfId="252" builtinId="8" hidden="1"/>
    <cellStyle name="Hyperlink" xfId="294" builtinId="8" hidden="1"/>
    <cellStyle name="Hyperlink" xfId="238" builtinId="8" hidden="1"/>
    <cellStyle name="Hyperlink" xfId="388" builtinId="8" hidden="1"/>
    <cellStyle name="Hyperlink" xfId="532" builtinId="8" hidden="1"/>
    <cellStyle name="Hyperlink" xfId="88" builtinId="8" hidden="1"/>
    <cellStyle name="Hyperlink" xfId="630" builtinId="8" hidden="1"/>
    <cellStyle name="Hyperlink" xfId="544" builtinId="8" hidden="1"/>
    <cellStyle name="Hyperlink" xfId="438" builtinId="8" hidden="1"/>
    <cellStyle name="Hyperlink" xfId="16" builtinId="8" hidden="1"/>
    <cellStyle name="Hyperlink" xfId="176" builtinId="8" hidden="1"/>
    <cellStyle name="Hyperlink" xfId="440" builtinId="8" hidden="1"/>
    <cellStyle name="Hyperlink" xfId="476" builtinId="8" hidden="1"/>
    <cellStyle name="Hyperlink" xfId="346" builtinId="8" hidden="1"/>
    <cellStyle name="Hyperlink" xfId="18" builtinId="8" hidden="1"/>
    <cellStyle name="Hyperlink" xfId="414" builtinId="8" hidden="1"/>
    <cellStyle name="Hyperlink" xfId="132" builtinId="8" hidden="1"/>
    <cellStyle name="Hyperlink" xfId="418" builtinId="8" hidden="1"/>
    <cellStyle name="Hyperlink" xfId="152" builtinId="8" hidden="1"/>
    <cellStyle name="Hyperlink" xfId="10" builtinId="8" hidden="1"/>
    <cellStyle name="Hyperlink" xfId="552" builtinId="8" hidden="1"/>
    <cellStyle name="Hyperlink" xfId="94" builtinId="8" hidden="1"/>
    <cellStyle name="Hyperlink" xfId="452" builtinId="8" hidden="1"/>
    <cellStyle name="Hyperlink" xfId="36" builtinId="8" hidden="1"/>
    <cellStyle name="Hyperlink" xfId="180" builtinId="8" hidden="1"/>
    <cellStyle name="Hyperlink" xfId="224" builtinId="8" hidden="1"/>
    <cellStyle name="Hyperlink" xfId="542" builtinId="8" hidden="1"/>
    <cellStyle name="Hyperlink" xfId="298" builtinId="8" hidden="1"/>
    <cellStyle name="Hyperlink" xfId="340" builtinId="8" hidden="1"/>
    <cellStyle name="Hyperlink" xfId="398" builtinId="8" hidden="1"/>
    <cellStyle name="Hyperlink" xfId="382" builtinId="8" hidden="1"/>
    <cellStyle name="Hyperlink" xfId="372" builtinId="8" hidden="1"/>
    <cellStyle name="Hyperlink" xfId="266" builtinId="8" hidden="1"/>
    <cellStyle name="Hyperlink" xfId="548" builtinId="8" hidden="1"/>
    <cellStyle name="Hyperlink" xfId="104" builtinId="8" hidden="1"/>
    <cellStyle name="Hyperlink" xfId="218" builtinId="8" hidden="1"/>
    <cellStyle name="Hyperlink" xfId="210" builtinId="8" hidden="1"/>
    <cellStyle name="Hyperlink" xfId="162" builtinId="8" hidden="1"/>
    <cellStyle name="Hyperlink" xfId="583" builtinId="8" hidden="1"/>
    <cellStyle name="Hyperlink" xfId="448" builtinId="8" hidden="1"/>
    <cellStyle name="Hyperlink" xfId="402" builtinId="8" hidden="1"/>
    <cellStyle name="Hyperlink" xfId="54" builtinId="8" hidden="1"/>
    <cellStyle name="Hyperlink" xfId="486" builtinId="8" hidden="1"/>
    <cellStyle name="Hyperlink" xfId="308" builtinId="8" hidden="1"/>
    <cellStyle name="Hyperlink" xfId="146" builtinId="8" hidden="1"/>
    <cellStyle name="Hyperlink" xfId="650" builtinId="8" hidden="1"/>
    <cellStyle name="Hyperlink" xfId="856" builtinId="8" hidden="1"/>
    <cellStyle name="Hyperlink" xfId="58" builtinId="8" hidden="1"/>
    <cellStyle name="Hyperlink" xfId="142" builtinId="8" hidden="1"/>
    <cellStyle name="Hyperlink" xfId="579" builtinId="8" hidden="1"/>
    <cellStyle name="Hyperlink" xfId="430" builtinId="8" hidden="1"/>
    <cellStyle name="Hyperlink" xfId="68" builtinId="8" hidden="1"/>
    <cellStyle name="Hyperlink" xfId="34" builtinId="8" hidden="1"/>
    <cellStyle name="Hyperlink" xfId="148" builtinId="8" hidden="1"/>
    <cellStyle name="Hyperlink" xfId="358" builtinId="8" hidden="1"/>
    <cellStyle name="Hyperlink" xfId="66" builtinId="8" hidden="1"/>
    <cellStyle name="Hyperlink" xfId="714" builtinId="8" hidden="1"/>
    <cellStyle name="Hyperlink" xfId="194" builtinId="8" hidden="1"/>
    <cellStyle name="Hyperlink" xfId="92" builtinId="8" hidden="1"/>
    <cellStyle name="Hyperlink" xfId="46" builtinId="8" hidden="1"/>
    <cellStyle name="Hyperlink" xfId="62" builtinId="8" hidden="1"/>
    <cellStyle name="Hyperlink" xfId="122" builtinId="8" hidden="1"/>
    <cellStyle name="Hyperlink" xfId="572" builtinId="8" hidden="1"/>
    <cellStyle name="Hyperlink" xfId="554" builtinId="8" hidden="1"/>
    <cellStyle name="Hyperlink" xfId="589" builtinId="8" hidden="1"/>
    <cellStyle name="Hyperlink" xfId="604" builtinId="8" hidden="1"/>
    <cellStyle name="Hyperlink" xfId="118" builtinId="8" hidden="1"/>
    <cellStyle name="Hyperlink" xfId="300" builtinId="8" hidden="1"/>
    <cellStyle name="Hyperlink" xfId="22" builtinId="8" hidden="1"/>
    <cellStyle name="Hyperlink" xfId="598" builtinId="8" hidden="1"/>
    <cellStyle name="Hyperlink" xfId="530" builtinId="8" hidden="1"/>
    <cellStyle name="Hyperlink" xfId="110" builtinId="8" hidden="1"/>
    <cellStyle name="Hyperlink" xfId="172" builtinId="8" hidden="1"/>
    <cellStyle name="Hyperlink" xfId="474" builtinId="8" hidden="1"/>
    <cellStyle name="Hyperlink" xfId="114" builtinId="8" hidden="1"/>
    <cellStyle name="Hyperlink" xfId="762" builtinId="8" hidden="1"/>
    <cellStyle name="Hyperlink" xfId="200" builtinId="8" hidden="1"/>
    <cellStyle name="Hyperlink" xfId="700" builtinId="8" hidden="1"/>
    <cellStyle name="Hyperlink" xfId="708" builtinId="8" hidden="1"/>
    <cellStyle name="Hyperlink" xfId="712" builtinId="8" hidden="1"/>
    <cellStyle name="Hyperlink" xfId="692" builtinId="8" hidden="1"/>
    <cellStyle name="Hyperlink" xfId="674" builtinId="8" hidden="1"/>
    <cellStyle name="Hyperlink" xfId="646" builtinId="8" hidden="1"/>
    <cellStyle name="Hyperlink" xfId="154" builtinId="8" hidden="1"/>
    <cellStyle name="Hyperlink" xfId="644" builtinId="8" hidden="1"/>
    <cellStyle name="Hyperlink" xfId="574" builtinId="8" hidden="1"/>
    <cellStyle name="Hyperlink" xfId="126" builtinId="8" hidden="1"/>
    <cellStyle name="Hyperlink" xfId="434" builtinId="8" hidden="1"/>
    <cellStyle name="Hyperlink" xfId="792" builtinId="8" hidden="1"/>
    <cellStyle name="Hyperlink" xfId="626" builtinId="8" hidden="1"/>
    <cellStyle name="Hyperlink" xfId="144" builtinId="8" hidden="1"/>
    <cellStyle name="Hyperlink" xfId="310" builtinId="8" hidden="1"/>
    <cellStyle name="Hyperlink" xfId="2" builtinId="8" hidden="1"/>
    <cellStyle name="Hyperlink" xfId="106" builtinId="8" hidden="1"/>
    <cellStyle name="Hyperlink" xfId="38" builtinId="8" hidden="1"/>
    <cellStyle name="Hyperlink" xfId="116" builtinId="8" hidden="1"/>
    <cellStyle name="Hyperlink" xfId="482" builtinId="8" hidden="1"/>
    <cellStyle name="Hyperlink" xfId="668" builtinId="8" hidden="1"/>
    <cellStyle name="Hyperlink" xfId="640" builtinId="8" hidden="1"/>
    <cellStyle name="Hyperlink" xfId="608" builtinId="8" hidden="1"/>
    <cellStyle name="Hyperlink" xfId="408" builtinId="8" hidden="1"/>
    <cellStyle name="Hyperlink" xfId="480" builtinId="8" hidden="1"/>
    <cellStyle name="Hyperlink" xfId="504" builtinId="8" hidden="1"/>
    <cellStyle name="Hyperlink" xfId="74" builtinId="8" hidden="1"/>
    <cellStyle name="Hyperlink" xfId="348" builtinId="8" hidden="1"/>
    <cellStyle name="Hyperlink" xfId="206" builtinId="8" hidden="1"/>
    <cellStyle name="Hyperlink" xfId="384" builtinId="8" hidden="1"/>
    <cellStyle name="Hyperlink" xfId="228" builtinId="8" hidden="1"/>
    <cellStyle name="Hyperlink" xfId="494" builtinId="8" hidden="1"/>
    <cellStyle name="Hyperlink" xfId="174" builtinId="8" hidden="1"/>
    <cellStyle name="Hyperlink" xfId="232" builtinId="8" hidden="1"/>
    <cellStyle name="Hyperlink" xfId="312" builtinId="8" hidden="1"/>
    <cellStyle name="Hyperlink" xfId="304" builtinId="8" hidden="1"/>
    <cellStyle name="Hyperlink" xfId="376" builtinId="8" hidden="1"/>
    <cellStyle name="Hyperlink" xfId="182" builtinId="8" hidden="1"/>
    <cellStyle name="Hyperlink" xfId="564" builtinId="8" hidden="1"/>
    <cellStyle name="Hyperlink" xfId="190" builtinId="8" hidden="1"/>
    <cellStyle name="Hyperlink" xfId="208" builtinId="8" hidden="1"/>
    <cellStyle name="Hyperlink" xfId="316" builtinId="8" hidden="1"/>
    <cellStyle name="Hyperlink" xfId="56" builtinId="8" hidden="1"/>
    <cellStyle name="Hyperlink" xfId="244" builtinId="8" hidden="1"/>
    <cellStyle name="Hyperlink" xfId="166" builtinId="8" hidden="1"/>
    <cellStyle name="Hyperlink" xfId="581" builtinId="8" hidden="1"/>
    <cellStyle name="Hyperlink" xfId="352" builtinId="8" hidden="1"/>
    <cellStyle name="Hyperlink" xfId="858" builtinId="8" hidden="1"/>
    <cellStyle name="Hyperlink" xfId="860" builtinId="8" hidden="1"/>
    <cellStyle name="Normal" xfId="0" builtinId="0"/>
  </cellStyles>
  <dxfs count="12953"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9" tint="0.79998168889431442"/>
      </font>
      <fill>
        <patternFill patternType="solid">
          <fgColor indexed="64"/>
          <bgColor theme="9" tint="0.79998168889431442"/>
        </patternFill>
      </fill>
    </dxf>
    <dxf>
      <font>
        <b/>
        <i val="0"/>
        <u val="double"/>
        <color rgb="FFFF0000"/>
      </font>
    </dxf>
    <dxf>
      <font>
        <b/>
        <i val="0"/>
        <strike val="0"/>
        <u val="double"/>
        <color rgb="FFFF0000"/>
      </font>
      <fill>
        <patternFill patternType="solid">
          <fgColor auto="1"/>
          <bgColor theme="5" tint="0.79998168889431442"/>
        </patternFill>
      </fill>
    </dxf>
    <dxf>
      <font>
        <b/>
        <i val="0"/>
        <u val="double"/>
        <color rgb="FFFF0000"/>
      </font>
    </dxf>
    <dxf>
      <font>
        <color rgb="FF002060"/>
      </font>
      <fill>
        <patternFill>
          <bgColor rgb="FFFFFF00"/>
        </patternFill>
      </fill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strike val="0"/>
        <u val="double"/>
        <color rgb="FFFF0000"/>
      </font>
      <fill>
        <patternFill patternType="solid">
          <fgColor auto="1"/>
          <bgColor theme="5" tint="0.79998168889431442"/>
        </patternFill>
      </fill>
    </dxf>
  </dxfs>
  <tableStyles count="0" defaultTableStyle="TableStyleMedium9" defaultPivotStyle="PivotStyleLight16"/>
  <colors>
    <mruColors>
      <color rgb="FF0000F4"/>
      <color rgb="FFFF87EE"/>
      <color rgb="FFFF1BEC"/>
      <color rgb="FFF5FF7A"/>
      <color rgb="FFFF15C0"/>
      <color rgb="FFFFC9C9"/>
      <color rgb="FFFFFF00"/>
      <color rgb="FFFFFF99"/>
      <color rgb="FF007033"/>
      <color rgb="FF009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chartUserShapes" Target="../drawings/drawing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chartUserShapes" Target="../drawings/drawing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chartUserShapes" Target="../drawings/drawing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chartUserShapes" Target="../drawings/drawing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chartUserShapes" Target="../drawings/drawing1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chartUserShapes" Target="../drawings/drawing2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chartUserShapes" Target="../drawings/drawing2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chartUserShapes" Target="../drawings/drawing2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chartUserShapes" Target="../drawings/drawing2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rgbClr val="0000F4"/>
                </a:solidFill>
              </a:defRPr>
            </a:pPr>
            <a:r>
              <a:rPr lang="en-US" sz="1600">
                <a:solidFill>
                  <a:srgbClr val="0000F4"/>
                </a:solidFill>
              </a:rPr>
              <a:t>average</a:t>
            </a:r>
            <a:r>
              <a:rPr lang="en-US" sz="1600" baseline="0">
                <a:solidFill>
                  <a:srgbClr val="0000F4"/>
                </a:solidFill>
              </a:rPr>
              <a:t> speed check</a:t>
            </a:r>
            <a:endParaRPr lang="en-US" sz="1600">
              <a:solidFill>
                <a:srgbClr val="0000F4"/>
              </a:solidFill>
            </a:endParaRPr>
          </a:p>
        </c:rich>
      </c:tx>
      <c:layout>
        <c:manualLayout>
          <c:xMode val="edge"/>
          <c:yMode val="edge"/>
          <c:x val="0.151382602765206"/>
          <c:y val="0.0169036141950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248248496497"/>
          <c:y val="0.159974946313529"/>
          <c:w val="0.843680947361896"/>
          <c:h val="0.6723277559055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'MY STATS'!$AZ$31</c:f>
              <c:strCache>
                <c:ptCount val="1"/>
                <c:pt idx="0">
                  <c:v>average speed</c:v>
                </c:pt>
              </c:strCache>
            </c:strRef>
          </c:tx>
          <c:spPr>
            <a:blipFill rotWithShape="1">
              <a:blip xmlns:r="http://schemas.openxmlformats.org/officeDocument/2006/relationships" r:embed="rId1"/>
              <a:tile tx="0" ty="0" sx="100000" sy="100000" flip="none" algn="tl"/>
            </a:blipFill>
            <a:ln w="47625">
              <a:noFill/>
            </a:ln>
          </c:spPr>
          <c:invertIfNegative val="0"/>
          <c:cat>
            <c:strRef>
              <c:f>'MY STATS'!$BA$28:$BG$28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'MY STATS'!$BA$31:$BG$31</c:f>
              <c:numCache>
                <c:formatCode>0.0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F5-8544-A7A0-7F45D3A95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33776968"/>
        <c:axId val="-2033901288"/>
      </c:barChart>
      <c:catAx>
        <c:axId val="-20337769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-2033901288"/>
        <c:crosses val="autoZero"/>
        <c:auto val="1"/>
        <c:lblAlgn val="ctr"/>
        <c:lblOffset val="100"/>
        <c:noMultiLvlLbl val="0"/>
      </c:catAx>
      <c:valAx>
        <c:axId val="-2033901288"/>
        <c:scaling>
          <c:orientation val="minMax"/>
        </c:scaling>
        <c:delete val="0"/>
        <c:axPos val="l"/>
        <c:majorGridlines/>
        <c:minorGridlines/>
        <c:numFmt formatCode="0.0" sourceLinked="1"/>
        <c:majorTickMark val="out"/>
        <c:minorTickMark val="none"/>
        <c:tickLblPos val="nextTo"/>
        <c:txPr>
          <a:bodyPr lIns="0" anchor="ctr" anchorCtr="1">
            <a:noAutofit/>
          </a:bodyPr>
          <a:lstStyle/>
          <a:p>
            <a:pPr algn="r">
              <a:defRPr sz="1400" b="1" i="0" baseline="0">
                <a:solidFill>
                  <a:srgbClr val="000090"/>
                </a:solidFill>
              </a:defRPr>
            </a:pPr>
            <a:endParaRPr lang="en-US"/>
          </a:p>
        </c:txPr>
        <c:crossAx val="-2033776968"/>
        <c:crosses val="autoZero"/>
        <c:crossBetween val="between"/>
        <c:majorUnit val="1.0"/>
        <c:minorUnit val="0.5"/>
      </c:valAx>
      <c:spPr>
        <a:blipFill rotWithShape="1">
          <a:blip xmlns:r="http://schemas.openxmlformats.org/officeDocument/2006/relationships" r:embed="rId2"/>
          <a:tile tx="0" ty="0" sx="100000" sy="100000" flip="none" algn="tl"/>
        </a:blipFill>
      </c:spPr>
    </c:plotArea>
    <c:plotVisOnly val="1"/>
    <c:dispBlanksAs val="gap"/>
    <c:showDLblsOverMax val="0"/>
  </c:chart>
  <c:spPr>
    <a:blipFill rotWithShape="1">
      <a:blip xmlns:r="http://schemas.openxmlformats.org/officeDocument/2006/relationships" r:embed="rId2"/>
      <a:tile tx="0" ty="0" sx="100000" sy="100000" flip="none" algn="tl"/>
    </a:blipFill>
  </c:spPr>
  <c:printSettings>
    <c:headerFooter/>
    <c:pageMargins b="1.0" l="0.750000000000001" r="0.750000000000001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1505191362717"/>
          <c:y val="0.251853859212731"/>
          <c:w val="0.865392940718945"/>
          <c:h val="0.6448622676745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MAR!$C$8:$C$46</c:f>
              <c:numCache>
                <c:formatCode>d;@</c:formatCode>
                <c:ptCount val="39"/>
                <c:pt idx="0">
                  <c:v>43160.0</c:v>
                </c:pt>
                <c:pt idx="1">
                  <c:v>43161.0</c:v>
                </c:pt>
                <c:pt idx="2">
                  <c:v>43162.0</c:v>
                </c:pt>
                <c:pt idx="3">
                  <c:v>43163.0</c:v>
                </c:pt>
                <c:pt idx="6">
                  <c:v>43164.0</c:v>
                </c:pt>
                <c:pt idx="7">
                  <c:v>43165.0</c:v>
                </c:pt>
                <c:pt idx="8">
                  <c:v>43166.0</c:v>
                </c:pt>
                <c:pt idx="9">
                  <c:v>43167.0</c:v>
                </c:pt>
                <c:pt idx="10">
                  <c:v>43168.0</c:v>
                </c:pt>
                <c:pt idx="11">
                  <c:v>43169.0</c:v>
                </c:pt>
                <c:pt idx="12">
                  <c:v>43170.0</c:v>
                </c:pt>
                <c:pt idx="15">
                  <c:v>43171.0</c:v>
                </c:pt>
                <c:pt idx="16">
                  <c:v>43172.0</c:v>
                </c:pt>
                <c:pt idx="17">
                  <c:v>43173.0</c:v>
                </c:pt>
                <c:pt idx="18">
                  <c:v>43174.0</c:v>
                </c:pt>
                <c:pt idx="19">
                  <c:v>43175.0</c:v>
                </c:pt>
                <c:pt idx="20">
                  <c:v>43176.0</c:v>
                </c:pt>
                <c:pt idx="21">
                  <c:v>43177.0</c:v>
                </c:pt>
                <c:pt idx="24">
                  <c:v>43178.0</c:v>
                </c:pt>
                <c:pt idx="25">
                  <c:v>43179.0</c:v>
                </c:pt>
                <c:pt idx="26">
                  <c:v>43180.0</c:v>
                </c:pt>
                <c:pt idx="27">
                  <c:v>43181.0</c:v>
                </c:pt>
                <c:pt idx="28">
                  <c:v>43182.0</c:v>
                </c:pt>
                <c:pt idx="29">
                  <c:v>43183.0</c:v>
                </c:pt>
                <c:pt idx="30">
                  <c:v>43184.0</c:v>
                </c:pt>
                <c:pt idx="33">
                  <c:v>43185.0</c:v>
                </c:pt>
                <c:pt idx="34">
                  <c:v>43186.0</c:v>
                </c:pt>
                <c:pt idx="35">
                  <c:v>43187.0</c:v>
                </c:pt>
                <c:pt idx="36">
                  <c:v>43188.0</c:v>
                </c:pt>
                <c:pt idx="37">
                  <c:v>43189.0</c:v>
                </c:pt>
                <c:pt idx="38">
                  <c:v>43190.0</c:v>
                </c:pt>
              </c:numCache>
            </c:numRef>
          </c:cat>
          <c:val>
            <c:numRef>
              <c:f>MAR!$R$8:$R$46</c:f>
              <c:numCache>
                <c:formatCode>#,##0.0</c:formatCode>
                <c:ptCount val="3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CC-E446-B96A-97121107B3F5}"/>
            </c:ext>
          </c:extLst>
        </c:ser>
        <c:ser>
          <c:idx val="1"/>
          <c:order val="1"/>
          <c:invertIfNegative val="0"/>
          <c:cat>
            <c:numRef>
              <c:f>MAR!$C$8:$C$46</c:f>
              <c:numCache>
                <c:formatCode>d;@</c:formatCode>
                <c:ptCount val="39"/>
                <c:pt idx="0">
                  <c:v>43160.0</c:v>
                </c:pt>
                <c:pt idx="1">
                  <c:v>43161.0</c:v>
                </c:pt>
                <c:pt idx="2">
                  <c:v>43162.0</c:v>
                </c:pt>
                <c:pt idx="3">
                  <c:v>43163.0</c:v>
                </c:pt>
                <c:pt idx="6">
                  <c:v>43164.0</c:v>
                </c:pt>
                <c:pt idx="7">
                  <c:v>43165.0</c:v>
                </c:pt>
                <c:pt idx="8">
                  <c:v>43166.0</c:v>
                </c:pt>
                <c:pt idx="9">
                  <c:v>43167.0</c:v>
                </c:pt>
                <c:pt idx="10">
                  <c:v>43168.0</c:v>
                </c:pt>
                <c:pt idx="11">
                  <c:v>43169.0</c:v>
                </c:pt>
                <c:pt idx="12">
                  <c:v>43170.0</c:v>
                </c:pt>
                <c:pt idx="15">
                  <c:v>43171.0</c:v>
                </c:pt>
                <c:pt idx="16">
                  <c:v>43172.0</c:v>
                </c:pt>
                <c:pt idx="17">
                  <c:v>43173.0</c:v>
                </c:pt>
                <c:pt idx="18">
                  <c:v>43174.0</c:v>
                </c:pt>
                <c:pt idx="19">
                  <c:v>43175.0</c:v>
                </c:pt>
                <c:pt idx="20">
                  <c:v>43176.0</c:v>
                </c:pt>
                <c:pt idx="21">
                  <c:v>43177.0</c:v>
                </c:pt>
                <c:pt idx="24">
                  <c:v>43178.0</c:v>
                </c:pt>
                <c:pt idx="25">
                  <c:v>43179.0</c:v>
                </c:pt>
                <c:pt idx="26">
                  <c:v>43180.0</c:v>
                </c:pt>
                <c:pt idx="27">
                  <c:v>43181.0</c:v>
                </c:pt>
                <c:pt idx="28">
                  <c:v>43182.0</c:v>
                </c:pt>
                <c:pt idx="29">
                  <c:v>43183.0</c:v>
                </c:pt>
                <c:pt idx="30">
                  <c:v>43184.0</c:v>
                </c:pt>
                <c:pt idx="33">
                  <c:v>43185.0</c:v>
                </c:pt>
                <c:pt idx="34">
                  <c:v>43186.0</c:v>
                </c:pt>
                <c:pt idx="35">
                  <c:v>43187.0</c:v>
                </c:pt>
                <c:pt idx="36">
                  <c:v>43188.0</c:v>
                </c:pt>
                <c:pt idx="37">
                  <c:v>43189.0</c:v>
                </c:pt>
                <c:pt idx="38">
                  <c:v>43190.0</c:v>
                </c:pt>
              </c:numCache>
            </c:numRef>
          </c:cat>
          <c:val>
            <c:numRef>
              <c:f>MAR!$T$8:$T$46</c:f>
              <c:numCache>
                <c:formatCode>#,##0.0</c:formatCode>
                <c:ptCount val="3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CC-E446-B96A-97121107B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436312"/>
        <c:axId val="1832429816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MAR!$C$8:$C$46</c:f>
              <c:numCache>
                <c:formatCode>d;@</c:formatCode>
                <c:ptCount val="39"/>
                <c:pt idx="0">
                  <c:v>43160.0</c:v>
                </c:pt>
                <c:pt idx="1">
                  <c:v>43161.0</c:v>
                </c:pt>
                <c:pt idx="2">
                  <c:v>43162.0</c:v>
                </c:pt>
                <c:pt idx="3">
                  <c:v>43163.0</c:v>
                </c:pt>
                <c:pt idx="6">
                  <c:v>43164.0</c:v>
                </c:pt>
                <c:pt idx="7">
                  <c:v>43165.0</c:v>
                </c:pt>
                <c:pt idx="8">
                  <c:v>43166.0</c:v>
                </c:pt>
                <c:pt idx="9">
                  <c:v>43167.0</c:v>
                </c:pt>
                <c:pt idx="10">
                  <c:v>43168.0</c:v>
                </c:pt>
                <c:pt idx="11">
                  <c:v>43169.0</c:v>
                </c:pt>
                <c:pt idx="12">
                  <c:v>43170.0</c:v>
                </c:pt>
                <c:pt idx="15">
                  <c:v>43171.0</c:v>
                </c:pt>
                <c:pt idx="16">
                  <c:v>43172.0</c:v>
                </c:pt>
                <c:pt idx="17">
                  <c:v>43173.0</c:v>
                </c:pt>
                <c:pt idx="18">
                  <c:v>43174.0</c:v>
                </c:pt>
                <c:pt idx="19">
                  <c:v>43175.0</c:v>
                </c:pt>
                <c:pt idx="20">
                  <c:v>43176.0</c:v>
                </c:pt>
                <c:pt idx="21">
                  <c:v>43177.0</c:v>
                </c:pt>
                <c:pt idx="24">
                  <c:v>43178.0</c:v>
                </c:pt>
                <c:pt idx="25">
                  <c:v>43179.0</c:v>
                </c:pt>
                <c:pt idx="26">
                  <c:v>43180.0</c:v>
                </c:pt>
                <c:pt idx="27">
                  <c:v>43181.0</c:v>
                </c:pt>
                <c:pt idx="28">
                  <c:v>43182.0</c:v>
                </c:pt>
                <c:pt idx="29">
                  <c:v>43183.0</c:v>
                </c:pt>
                <c:pt idx="30">
                  <c:v>43184.0</c:v>
                </c:pt>
                <c:pt idx="33">
                  <c:v>43185.0</c:v>
                </c:pt>
                <c:pt idx="34">
                  <c:v>43186.0</c:v>
                </c:pt>
                <c:pt idx="35">
                  <c:v>43187.0</c:v>
                </c:pt>
                <c:pt idx="36">
                  <c:v>43188.0</c:v>
                </c:pt>
                <c:pt idx="37">
                  <c:v>43189.0</c:v>
                </c:pt>
                <c:pt idx="38">
                  <c:v>43190.0</c:v>
                </c:pt>
              </c:numCache>
            </c:numRef>
          </c:cat>
          <c:val>
            <c:numRef>
              <c:f>MAR!$U$8:$U$46</c:f>
              <c:numCache>
                <c:formatCode>#,##0.0</c:formatCode>
                <c:ptCount val="3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CC-E446-B96A-97121107B3F5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MAR!$C$8:$C$46</c:f>
              <c:numCache>
                <c:formatCode>d;@</c:formatCode>
                <c:ptCount val="39"/>
                <c:pt idx="0">
                  <c:v>43160.0</c:v>
                </c:pt>
                <c:pt idx="1">
                  <c:v>43161.0</c:v>
                </c:pt>
                <c:pt idx="2">
                  <c:v>43162.0</c:v>
                </c:pt>
                <c:pt idx="3">
                  <c:v>43163.0</c:v>
                </c:pt>
                <c:pt idx="6">
                  <c:v>43164.0</c:v>
                </c:pt>
                <c:pt idx="7">
                  <c:v>43165.0</c:v>
                </c:pt>
                <c:pt idx="8">
                  <c:v>43166.0</c:v>
                </c:pt>
                <c:pt idx="9">
                  <c:v>43167.0</c:v>
                </c:pt>
                <c:pt idx="10">
                  <c:v>43168.0</c:v>
                </c:pt>
                <c:pt idx="11">
                  <c:v>43169.0</c:v>
                </c:pt>
                <c:pt idx="12">
                  <c:v>43170.0</c:v>
                </c:pt>
                <c:pt idx="15">
                  <c:v>43171.0</c:v>
                </c:pt>
                <c:pt idx="16">
                  <c:v>43172.0</c:v>
                </c:pt>
                <c:pt idx="17">
                  <c:v>43173.0</c:v>
                </c:pt>
                <c:pt idx="18">
                  <c:v>43174.0</c:v>
                </c:pt>
                <c:pt idx="19">
                  <c:v>43175.0</c:v>
                </c:pt>
                <c:pt idx="20">
                  <c:v>43176.0</c:v>
                </c:pt>
                <c:pt idx="21">
                  <c:v>43177.0</c:v>
                </c:pt>
                <c:pt idx="24">
                  <c:v>43178.0</c:v>
                </c:pt>
                <c:pt idx="25">
                  <c:v>43179.0</c:v>
                </c:pt>
                <c:pt idx="26">
                  <c:v>43180.0</c:v>
                </c:pt>
                <c:pt idx="27">
                  <c:v>43181.0</c:v>
                </c:pt>
                <c:pt idx="28">
                  <c:v>43182.0</c:v>
                </c:pt>
                <c:pt idx="29">
                  <c:v>43183.0</c:v>
                </c:pt>
                <c:pt idx="30">
                  <c:v>43184.0</c:v>
                </c:pt>
                <c:pt idx="33">
                  <c:v>43185.0</c:v>
                </c:pt>
                <c:pt idx="34">
                  <c:v>43186.0</c:v>
                </c:pt>
                <c:pt idx="35">
                  <c:v>43187.0</c:v>
                </c:pt>
                <c:pt idx="36">
                  <c:v>43188.0</c:v>
                </c:pt>
                <c:pt idx="37">
                  <c:v>43189.0</c:v>
                </c:pt>
                <c:pt idx="38">
                  <c:v>43190.0</c:v>
                </c:pt>
              </c:numCache>
            </c:numRef>
          </c:cat>
          <c:val>
            <c:numRef>
              <c:f>MAR!$V$8:$V$46</c:f>
              <c:numCache>
                <c:formatCode>#,##0.00</c:formatCode>
                <c:ptCount val="3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6CC-E446-B96A-97121107B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1832423880"/>
        <c:axId val="1832420536"/>
      </c:barChart>
      <c:dateAx>
        <c:axId val="1832436312"/>
        <c:scaling>
          <c:orientation val="minMax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832429816"/>
        <c:crosses val="autoZero"/>
        <c:auto val="1"/>
        <c:lblOffset val="100"/>
        <c:baseTimeUnit val="days"/>
      </c:dateAx>
      <c:valAx>
        <c:axId val="1832429816"/>
        <c:scaling>
          <c:orientation val="minMax"/>
          <c:min val="0.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1832436312"/>
        <c:crosses val="autoZero"/>
        <c:crossBetween val="between"/>
      </c:valAx>
      <c:valAx>
        <c:axId val="1832420536"/>
        <c:scaling>
          <c:orientation val="minMax"/>
          <c:max val="6.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1832423880"/>
        <c:crosses val="max"/>
        <c:crossBetween val="between"/>
      </c:valAx>
      <c:dateAx>
        <c:axId val="1832423880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183242053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"/>
          <c:y val="0.016100445578174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37398098378587"/>
          <c:y val="0.197282609058995"/>
          <c:w val="0.863599047286655"/>
          <c:h val="0.70829764944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MAR!$P$52:$V$52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MAR!$P$53:$V$53</c:f>
              <c:numCache>
                <c:formatCode>General</c:formatCode>
                <c:ptCount val="7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  <c:pt idx="3">
                  <c:v>5.0</c:v>
                </c:pt>
                <c:pt idx="4">
                  <c:v>5.0</c:v>
                </c:pt>
                <c:pt idx="5">
                  <c:v>5.0</c:v>
                </c:pt>
                <c:pt idx="6">
                  <c:v>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4A-5445-A37D-F3F4F761861F}"/>
            </c:ext>
          </c:extLst>
        </c:ser>
        <c:ser>
          <c:idx val="1"/>
          <c:order val="1"/>
          <c:tx>
            <c:strRef>
              <c:f>MAR!$O$54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MAR!$P$52:$V$52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MAR!$P$54:$V$54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4A-5445-A37D-F3F4F761861F}"/>
            </c:ext>
          </c:extLst>
        </c:ser>
        <c:ser>
          <c:idx val="2"/>
          <c:order val="2"/>
          <c:tx>
            <c:strRef>
              <c:f>MAR!$O$55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MAR!$P$52:$V$52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MAR!$P$55:$V$55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4A-5445-A37D-F3F4F761861F}"/>
            </c:ext>
          </c:extLst>
        </c:ser>
        <c:ser>
          <c:idx val="4"/>
          <c:order val="3"/>
          <c:tx>
            <c:strRef>
              <c:f>MAR!$O$56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MAR!$P$52:$V$52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MAR!$P$56:$V$56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54A-5445-A37D-F3F4F761861F}"/>
            </c:ext>
          </c:extLst>
        </c:ser>
        <c:ser>
          <c:idx val="6"/>
          <c:order val="4"/>
          <c:tx>
            <c:strRef>
              <c:f>MAR!$O$59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MAR!$P$52:$V$52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MAR!$P$59:$V$59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4A-5445-A37D-F3F4F7618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348808"/>
        <c:axId val="1832351896"/>
      </c:barChart>
      <c:catAx>
        <c:axId val="1832348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832351896"/>
        <c:crosses val="autoZero"/>
        <c:auto val="0"/>
        <c:lblAlgn val="ctr"/>
        <c:lblOffset val="100"/>
        <c:noMultiLvlLbl val="0"/>
      </c:catAx>
      <c:valAx>
        <c:axId val="1832351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832348808"/>
        <c:crosses val="autoZero"/>
        <c:crossBetween val="between"/>
        <c:majorUnit val="1.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"/>
          <c:w val="0.852257405751388"/>
          <c:h val="0.0871063201234685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 monthly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  date</a:t>
            </a:r>
          </a:p>
        </c:rich>
      </c:tx>
      <c:layout>
        <c:manualLayout>
          <c:xMode val="edge"/>
          <c:yMode val="edge"/>
          <c:x val="0.120562605111022"/>
          <c:y val="0.32664719974798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982871397215672"/>
          <c:y val="0.0609140180360491"/>
          <c:w val="0.890845181904938"/>
          <c:h val="0.864771029434899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APR!$C$10:$C$50</c:f>
              <c:numCache>
                <c:formatCode>d;@</c:formatCode>
                <c:ptCount val="41"/>
                <c:pt idx="0">
                  <c:v>43190.0</c:v>
                </c:pt>
                <c:pt idx="1">
                  <c:v>43191.0</c:v>
                </c:pt>
                <c:pt idx="4">
                  <c:v>43192.0</c:v>
                </c:pt>
                <c:pt idx="5">
                  <c:v>43193.0</c:v>
                </c:pt>
                <c:pt idx="6">
                  <c:v>43194.0</c:v>
                </c:pt>
                <c:pt idx="7">
                  <c:v>43195.0</c:v>
                </c:pt>
                <c:pt idx="8">
                  <c:v>43196.0</c:v>
                </c:pt>
                <c:pt idx="9">
                  <c:v>43197.0</c:v>
                </c:pt>
                <c:pt idx="10">
                  <c:v>43198.0</c:v>
                </c:pt>
                <c:pt idx="13">
                  <c:v>43199.0</c:v>
                </c:pt>
                <c:pt idx="14">
                  <c:v>43200.0</c:v>
                </c:pt>
                <c:pt idx="15">
                  <c:v>43201.0</c:v>
                </c:pt>
                <c:pt idx="16">
                  <c:v>43202.0</c:v>
                </c:pt>
                <c:pt idx="17">
                  <c:v>43203.0</c:v>
                </c:pt>
                <c:pt idx="18">
                  <c:v>43204.0</c:v>
                </c:pt>
                <c:pt idx="19">
                  <c:v>43205.0</c:v>
                </c:pt>
                <c:pt idx="22">
                  <c:v>43206.0</c:v>
                </c:pt>
                <c:pt idx="23">
                  <c:v>43207.0</c:v>
                </c:pt>
                <c:pt idx="24">
                  <c:v>43208.0</c:v>
                </c:pt>
                <c:pt idx="25">
                  <c:v>43209.0</c:v>
                </c:pt>
                <c:pt idx="26">
                  <c:v>43210.0</c:v>
                </c:pt>
                <c:pt idx="27">
                  <c:v>43211.0</c:v>
                </c:pt>
                <c:pt idx="28">
                  <c:v>43212.0</c:v>
                </c:pt>
                <c:pt idx="31">
                  <c:v>43213.0</c:v>
                </c:pt>
                <c:pt idx="32">
                  <c:v>43214.0</c:v>
                </c:pt>
                <c:pt idx="33">
                  <c:v>43215.0</c:v>
                </c:pt>
                <c:pt idx="34">
                  <c:v>43216.0</c:v>
                </c:pt>
                <c:pt idx="35">
                  <c:v>43217.0</c:v>
                </c:pt>
                <c:pt idx="36">
                  <c:v>43218.0</c:v>
                </c:pt>
                <c:pt idx="37">
                  <c:v>43219.0</c:v>
                </c:pt>
                <c:pt idx="40">
                  <c:v>43220.0</c:v>
                </c:pt>
              </c:numCache>
            </c:numRef>
          </c:cat>
          <c:val>
            <c:numRef>
              <c:f>APR!$Q$10:$Q$50</c:f>
              <c:numCache>
                <c:formatCode>#,##0.0</c:formatCode>
                <c:ptCount val="41"/>
                <c:pt idx="0">
                  <c:v>39.81701666751709</c:v>
                </c:pt>
                <c:pt idx="1">
                  <c:v>39.81701666751709</c:v>
                </c:pt>
                <c:pt idx="2">
                  <c:v>0.0</c:v>
                </c:pt>
                <c:pt idx="3">
                  <c:v>0.0</c:v>
                </c:pt>
                <c:pt idx="4">
                  <c:v>39.81701666751709</c:v>
                </c:pt>
                <c:pt idx="5">
                  <c:v>39.81701666751709</c:v>
                </c:pt>
                <c:pt idx="6">
                  <c:v>39.81701666751709</c:v>
                </c:pt>
                <c:pt idx="7">
                  <c:v>39.81701666751709</c:v>
                </c:pt>
                <c:pt idx="8">
                  <c:v>39.81701666751709</c:v>
                </c:pt>
                <c:pt idx="9">
                  <c:v>39.81701666751709</c:v>
                </c:pt>
                <c:pt idx="10">
                  <c:v>39.81701666751709</c:v>
                </c:pt>
                <c:pt idx="11">
                  <c:v>0.0</c:v>
                </c:pt>
                <c:pt idx="12">
                  <c:v>0.0</c:v>
                </c:pt>
                <c:pt idx="13">
                  <c:v>39.81701666751709</c:v>
                </c:pt>
                <c:pt idx="14">
                  <c:v>39.81701666751709</c:v>
                </c:pt>
                <c:pt idx="15">
                  <c:v>39.81701666751709</c:v>
                </c:pt>
                <c:pt idx="16">
                  <c:v>39.81701666751709</c:v>
                </c:pt>
                <c:pt idx="17">
                  <c:v>39.81701666751709</c:v>
                </c:pt>
                <c:pt idx="18">
                  <c:v>39.81701666751709</c:v>
                </c:pt>
                <c:pt idx="19">
                  <c:v>39.81701666751709</c:v>
                </c:pt>
                <c:pt idx="20">
                  <c:v>0.0</c:v>
                </c:pt>
                <c:pt idx="21">
                  <c:v>0.0</c:v>
                </c:pt>
                <c:pt idx="22">
                  <c:v>39.81701666751709</c:v>
                </c:pt>
                <c:pt idx="23">
                  <c:v>39.81701666751709</c:v>
                </c:pt>
                <c:pt idx="24">
                  <c:v>39.81701666751709</c:v>
                </c:pt>
                <c:pt idx="25">
                  <c:v>39.81701666751709</c:v>
                </c:pt>
                <c:pt idx="26">
                  <c:v>39.81701666751709</c:v>
                </c:pt>
                <c:pt idx="27">
                  <c:v>39.81701666751709</c:v>
                </c:pt>
                <c:pt idx="28">
                  <c:v>39.81701666751709</c:v>
                </c:pt>
                <c:pt idx="29">
                  <c:v>0.0</c:v>
                </c:pt>
                <c:pt idx="30">
                  <c:v>0.0</c:v>
                </c:pt>
                <c:pt idx="31">
                  <c:v>39.81701666751709</c:v>
                </c:pt>
                <c:pt idx="32">
                  <c:v>39.81701666751709</c:v>
                </c:pt>
                <c:pt idx="33">
                  <c:v>39.81701666751709</c:v>
                </c:pt>
                <c:pt idx="34">
                  <c:v>39.81701666751709</c:v>
                </c:pt>
                <c:pt idx="35">
                  <c:v>39.81701666751709</c:v>
                </c:pt>
                <c:pt idx="36">
                  <c:v>39.81701666751709</c:v>
                </c:pt>
                <c:pt idx="37">
                  <c:v>39.81701666751709</c:v>
                </c:pt>
                <c:pt idx="38">
                  <c:v>0.0</c:v>
                </c:pt>
                <c:pt idx="39">
                  <c:v>0.0</c:v>
                </c:pt>
                <c:pt idx="40">
                  <c:v>39.81701666751709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3C-DE46-B6EE-F1632A4E2332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APR!$C$10:$C$50</c:f>
              <c:numCache>
                <c:formatCode>d;@</c:formatCode>
                <c:ptCount val="41"/>
                <c:pt idx="0">
                  <c:v>43190.0</c:v>
                </c:pt>
                <c:pt idx="1">
                  <c:v>43191.0</c:v>
                </c:pt>
                <c:pt idx="4">
                  <c:v>43192.0</c:v>
                </c:pt>
                <c:pt idx="5">
                  <c:v>43193.0</c:v>
                </c:pt>
                <c:pt idx="6">
                  <c:v>43194.0</c:v>
                </c:pt>
                <c:pt idx="7">
                  <c:v>43195.0</c:v>
                </c:pt>
                <c:pt idx="8">
                  <c:v>43196.0</c:v>
                </c:pt>
                <c:pt idx="9">
                  <c:v>43197.0</c:v>
                </c:pt>
                <c:pt idx="10">
                  <c:v>43198.0</c:v>
                </c:pt>
                <c:pt idx="13">
                  <c:v>43199.0</c:v>
                </c:pt>
                <c:pt idx="14">
                  <c:v>43200.0</c:v>
                </c:pt>
                <c:pt idx="15">
                  <c:v>43201.0</c:v>
                </c:pt>
                <c:pt idx="16">
                  <c:v>43202.0</c:v>
                </c:pt>
                <c:pt idx="17">
                  <c:v>43203.0</c:v>
                </c:pt>
                <c:pt idx="18">
                  <c:v>43204.0</c:v>
                </c:pt>
                <c:pt idx="19">
                  <c:v>43205.0</c:v>
                </c:pt>
                <c:pt idx="22">
                  <c:v>43206.0</c:v>
                </c:pt>
                <c:pt idx="23">
                  <c:v>43207.0</c:v>
                </c:pt>
                <c:pt idx="24">
                  <c:v>43208.0</c:v>
                </c:pt>
                <c:pt idx="25">
                  <c:v>43209.0</c:v>
                </c:pt>
                <c:pt idx="26">
                  <c:v>43210.0</c:v>
                </c:pt>
                <c:pt idx="27">
                  <c:v>43211.0</c:v>
                </c:pt>
                <c:pt idx="28">
                  <c:v>43212.0</c:v>
                </c:pt>
                <c:pt idx="31">
                  <c:v>43213.0</c:v>
                </c:pt>
                <c:pt idx="32">
                  <c:v>43214.0</c:v>
                </c:pt>
                <c:pt idx="33">
                  <c:v>43215.0</c:v>
                </c:pt>
                <c:pt idx="34">
                  <c:v>43216.0</c:v>
                </c:pt>
                <c:pt idx="35">
                  <c:v>43217.0</c:v>
                </c:pt>
                <c:pt idx="36">
                  <c:v>43218.0</c:v>
                </c:pt>
                <c:pt idx="37">
                  <c:v>43219.0</c:v>
                </c:pt>
                <c:pt idx="40">
                  <c:v>43220.0</c:v>
                </c:pt>
              </c:numCache>
            </c:numRef>
          </c:cat>
          <c:val>
            <c:numRef>
              <c:f>APR!$AB$10:$AB$50</c:f>
              <c:numCache>
                <c:formatCode>#,##0.0</c:formatCode>
                <c:ptCount val="4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3C-DE46-B6EE-F1632A4E2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60941960"/>
        <c:axId val="-1960938888"/>
      </c:lineChart>
      <c:dateAx>
        <c:axId val="-1960941960"/>
        <c:scaling>
          <c:orientation val="minMax"/>
          <c:max val="43220.0"/>
          <c:min val="43190.0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-1960938888"/>
        <c:crosses val="autoZero"/>
        <c:auto val="1"/>
        <c:lblOffset val="100"/>
        <c:baseTimeUnit val="days"/>
      </c:dateAx>
      <c:valAx>
        <c:axId val="-1960938888"/>
        <c:scaling>
          <c:orientation val="minMax"/>
          <c:min val="0.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-1960941960"/>
        <c:crossesAt val="43190.0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1505191362717"/>
          <c:y val="0.251853859212731"/>
          <c:w val="0.865392940718945"/>
          <c:h val="0.6448622676745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APR!$C$11:$C$50</c:f>
              <c:numCache>
                <c:formatCode>General</c:formatCode>
                <c:ptCount val="40"/>
                <c:pt idx="0" formatCode="d;@">
                  <c:v>43191.0</c:v>
                </c:pt>
                <c:pt idx="3" formatCode="d;@">
                  <c:v>43192.0</c:v>
                </c:pt>
                <c:pt idx="4" formatCode="d;@">
                  <c:v>43193.0</c:v>
                </c:pt>
                <c:pt idx="5" formatCode="d;@">
                  <c:v>43194.0</c:v>
                </c:pt>
                <c:pt idx="6" formatCode="d;@">
                  <c:v>43195.0</c:v>
                </c:pt>
                <c:pt idx="7" formatCode="d;@">
                  <c:v>43196.0</c:v>
                </c:pt>
                <c:pt idx="8" formatCode="d;@">
                  <c:v>43197.0</c:v>
                </c:pt>
                <c:pt idx="9" formatCode="d;@">
                  <c:v>43198.0</c:v>
                </c:pt>
                <c:pt idx="12" formatCode="d;@">
                  <c:v>43199.0</c:v>
                </c:pt>
                <c:pt idx="13" formatCode="d;@">
                  <c:v>43200.0</c:v>
                </c:pt>
                <c:pt idx="14" formatCode="d;@">
                  <c:v>43201.0</c:v>
                </c:pt>
                <c:pt idx="15" formatCode="d;@">
                  <c:v>43202.0</c:v>
                </c:pt>
                <c:pt idx="16" formatCode="d;@">
                  <c:v>43203.0</c:v>
                </c:pt>
                <c:pt idx="17" formatCode="d;@">
                  <c:v>43204.0</c:v>
                </c:pt>
                <c:pt idx="18" formatCode="d;@">
                  <c:v>43205.0</c:v>
                </c:pt>
                <c:pt idx="21" formatCode="d;@">
                  <c:v>43206.0</c:v>
                </c:pt>
                <c:pt idx="22" formatCode="d;@">
                  <c:v>43207.0</c:v>
                </c:pt>
                <c:pt idx="23" formatCode="d;@">
                  <c:v>43208.0</c:v>
                </c:pt>
                <c:pt idx="24" formatCode="d;@">
                  <c:v>43209.0</c:v>
                </c:pt>
                <c:pt idx="25" formatCode="d;@">
                  <c:v>43210.0</c:v>
                </c:pt>
                <c:pt idx="26" formatCode="d;@">
                  <c:v>43211.0</c:v>
                </c:pt>
                <c:pt idx="27" formatCode="d;@">
                  <c:v>43212.0</c:v>
                </c:pt>
                <c:pt idx="30" formatCode="d;@">
                  <c:v>43213.0</c:v>
                </c:pt>
                <c:pt idx="31" formatCode="d;@">
                  <c:v>43214.0</c:v>
                </c:pt>
                <c:pt idx="32" formatCode="d;@">
                  <c:v>43215.0</c:v>
                </c:pt>
                <c:pt idx="33" formatCode="d;@">
                  <c:v>43216.0</c:v>
                </c:pt>
                <c:pt idx="34" formatCode="d;@">
                  <c:v>43217.0</c:v>
                </c:pt>
                <c:pt idx="35" formatCode="d;@">
                  <c:v>43218.0</c:v>
                </c:pt>
                <c:pt idx="36" formatCode="d;@">
                  <c:v>43219.0</c:v>
                </c:pt>
                <c:pt idx="39" formatCode="d;@">
                  <c:v>43220.0</c:v>
                </c:pt>
              </c:numCache>
            </c:numRef>
          </c:cat>
          <c:val>
            <c:numRef>
              <c:f>APR!$R$11:$R$50</c:f>
              <c:numCache>
                <c:formatCode>#,##0.0</c:formatCode>
                <c:ptCount val="40"/>
                <c:pt idx="0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9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D4-1F46-A4A2-A38A9173933D}"/>
            </c:ext>
          </c:extLst>
        </c:ser>
        <c:ser>
          <c:idx val="1"/>
          <c:order val="1"/>
          <c:invertIfNegative val="0"/>
          <c:cat>
            <c:numRef>
              <c:f>APR!$C$11:$C$50</c:f>
              <c:numCache>
                <c:formatCode>General</c:formatCode>
                <c:ptCount val="40"/>
                <c:pt idx="0" formatCode="d;@">
                  <c:v>43191.0</c:v>
                </c:pt>
                <c:pt idx="3" formatCode="d;@">
                  <c:v>43192.0</c:v>
                </c:pt>
                <c:pt idx="4" formatCode="d;@">
                  <c:v>43193.0</c:v>
                </c:pt>
                <c:pt idx="5" formatCode="d;@">
                  <c:v>43194.0</c:v>
                </c:pt>
                <c:pt idx="6" formatCode="d;@">
                  <c:v>43195.0</c:v>
                </c:pt>
                <c:pt idx="7" formatCode="d;@">
                  <c:v>43196.0</c:v>
                </c:pt>
                <c:pt idx="8" formatCode="d;@">
                  <c:v>43197.0</c:v>
                </c:pt>
                <c:pt idx="9" formatCode="d;@">
                  <c:v>43198.0</c:v>
                </c:pt>
                <c:pt idx="12" formatCode="d;@">
                  <c:v>43199.0</c:v>
                </c:pt>
                <c:pt idx="13" formatCode="d;@">
                  <c:v>43200.0</c:v>
                </c:pt>
                <c:pt idx="14" formatCode="d;@">
                  <c:v>43201.0</c:v>
                </c:pt>
                <c:pt idx="15" formatCode="d;@">
                  <c:v>43202.0</c:v>
                </c:pt>
                <c:pt idx="16" formatCode="d;@">
                  <c:v>43203.0</c:v>
                </c:pt>
                <c:pt idx="17" formatCode="d;@">
                  <c:v>43204.0</c:v>
                </c:pt>
                <c:pt idx="18" formatCode="d;@">
                  <c:v>43205.0</c:v>
                </c:pt>
                <c:pt idx="21" formatCode="d;@">
                  <c:v>43206.0</c:v>
                </c:pt>
                <c:pt idx="22" formatCode="d;@">
                  <c:v>43207.0</c:v>
                </c:pt>
                <c:pt idx="23" formatCode="d;@">
                  <c:v>43208.0</c:v>
                </c:pt>
                <c:pt idx="24" formatCode="d;@">
                  <c:v>43209.0</c:v>
                </c:pt>
                <c:pt idx="25" formatCode="d;@">
                  <c:v>43210.0</c:v>
                </c:pt>
                <c:pt idx="26" formatCode="d;@">
                  <c:v>43211.0</c:v>
                </c:pt>
                <c:pt idx="27" formatCode="d;@">
                  <c:v>43212.0</c:v>
                </c:pt>
                <c:pt idx="30" formatCode="d;@">
                  <c:v>43213.0</c:v>
                </c:pt>
                <c:pt idx="31" formatCode="d;@">
                  <c:v>43214.0</c:v>
                </c:pt>
                <c:pt idx="32" formatCode="d;@">
                  <c:v>43215.0</c:v>
                </c:pt>
                <c:pt idx="33" formatCode="d;@">
                  <c:v>43216.0</c:v>
                </c:pt>
                <c:pt idx="34" formatCode="d;@">
                  <c:v>43217.0</c:v>
                </c:pt>
                <c:pt idx="35" formatCode="d;@">
                  <c:v>43218.0</c:v>
                </c:pt>
                <c:pt idx="36" formatCode="d;@">
                  <c:v>43219.0</c:v>
                </c:pt>
                <c:pt idx="39" formatCode="d;@">
                  <c:v>43220.0</c:v>
                </c:pt>
              </c:numCache>
            </c:numRef>
          </c:cat>
          <c:val>
            <c:numRef>
              <c:f>APR!$T$11:$T$50</c:f>
              <c:numCache>
                <c:formatCode>#,##0.0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D4-1F46-A4A2-A38A91739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61666760"/>
        <c:axId val="-1961853032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APR!$C$11:$C$50</c:f>
              <c:numCache>
                <c:formatCode>General</c:formatCode>
                <c:ptCount val="40"/>
                <c:pt idx="0" formatCode="d;@">
                  <c:v>43191.0</c:v>
                </c:pt>
                <c:pt idx="3" formatCode="d;@">
                  <c:v>43192.0</c:v>
                </c:pt>
                <c:pt idx="4" formatCode="d;@">
                  <c:v>43193.0</c:v>
                </c:pt>
                <c:pt idx="5" formatCode="d;@">
                  <c:v>43194.0</c:v>
                </c:pt>
                <c:pt idx="6" formatCode="d;@">
                  <c:v>43195.0</c:v>
                </c:pt>
                <c:pt idx="7" formatCode="d;@">
                  <c:v>43196.0</c:v>
                </c:pt>
                <c:pt idx="8" formatCode="d;@">
                  <c:v>43197.0</c:v>
                </c:pt>
                <c:pt idx="9" formatCode="d;@">
                  <c:v>43198.0</c:v>
                </c:pt>
                <c:pt idx="12" formatCode="d;@">
                  <c:v>43199.0</c:v>
                </c:pt>
                <c:pt idx="13" formatCode="d;@">
                  <c:v>43200.0</c:v>
                </c:pt>
                <c:pt idx="14" formatCode="d;@">
                  <c:v>43201.0</c:v>
                </c:pt>
                <c:pt idx="15" formatCode="d;@">
                  <c:v>43202.0</c:v>
                </c:pt>
                <c:pt idx="16" formatCode="d;@">
                  <c:v>43203.0</c:v>
                </c:pt>
                <c:pt idx="17" formatCode="d;@">
                  <c:v>43204.0</c:v>
                </c:pt>
                <c:pt idx="18" formatCode="d;@">
                  <c:v>43205.0</c:v>
                </c:pt>
                <c:pt idx="21" formatCode="d;@">
                  <c:v>43206.0</c:v>
                </c:pt>
                <c:pt idx="22" formatCode="d;@">
                  <c:v>43207.0</c:v>
                </c:pt>
                <c:pt idx="23" formatCode="d;@">
                  <c:v>43208.0</c:v>
                </c:pt>
                <c:pt idx="24" formatCode="d;@">
                  <c:v>43209.0</c:v>
                </c:pt>
                <c:pt idx="25" formatCode="d;@">
                  <c:v>43210.0</c:v>
                </c:pt>
                <c:pt idx="26" formatCode="d;@">
                  <c:v>43211.0</c:v>
                </c:pt>
                <c:pt idx="27" formatCode="d;@">
                  <c:v>43212.0</c:v>
                </c:pt>
                <c:pt idx="30" formatCode="d;@">
                  <c:v>43213.0</c:v>
                </c:pt>
                <c:pt idx="31" formatCode="d;@">
                  <c:v>43214.0</c:v>
                </c:pt>
                <c:pt idx="32" formatCode="d;@">
                  <c:v>43215.0</c:v>
                </c:pt>
                <c:pt idx="33" formatCode="d;@">
                  <c:v>43216.0</c:v>
                </c:pt>
                <c:pt idx="34" formatCode="d;@">
                  <c:v>43217.0</c:v>
                </c:pt>
                <c:pt idx="35" formatCode="d;@">
                  <c:v>43218.0</c:v>
                </c:pt>
                <c:pt idx="36" formatCode="d;@">
                  <c:v>43219.0</c:v>
                </c:pt>
                <c:pt idx="39" formatCode="d;@">
                  <c:v>43220.0</c:v>
                </c:pt>
              </c:numCache>
            </c:numRef>
          </c:cat>
          <c:val>
            <c:numRef>
              <c:f>APR!$U$11:$U$50</c:f>
              <c:numCache>
                <c:formatCode>#,##0.0</c:formatCode>
                <c:ptCount val="4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D4-1F46-A4A2-A38A9173933D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APR!$C$11:$C$50</c:f>
              <c:numCache>
                <c:formatCode>General</c:formatCode>
                <c:ptCount val="40"/>
                <c:pt idx="0" formatCode="d;@">
                  <c:v>43191.0</c:v>
                </c:pt>
                <c:pt idx="3" formatCode="d;@">
                  <c:v>43192.0</c:v>
                </c:pt>
                <c:pt idx="4" formatCode="d;@">
                  <c:v>43193.0</c:v>
                </c:pt>
                <c:pt idx="5" formatCode="d;@">
                  <c:v>43194.0</c:v>
                </c:pt>
                <c:pt idx="6" formatCode="d;@">
                  <c:v>43195.0</c:v>
                </c:pt>
                <c:pt idx="7" formatCode="d;@">
                  <c:v>43196.0</c:v>
                </c:pt>
                <c:pt idx="8" formatCode="d;@">
                  <c:v>43197.0</c:v>
                </c:pt>
                <c:pt idx="9" formatCode="d;@">
                  <c:v>43198.0</c:v>
                </c:pt>
                <c:pt idx="12" formatCode="d;@">
                  <c:v>43199.0</c:v>
                </c:pt>
                <c:pt idx="13" formatCode="d;@">
                  <c:v>43200.0</c:v>
                </c:pt>
                <c:pt idx="14" formatCode="d;@">
                  <c:v>43201.0</c:v>
                </c:pt>
                <c:pt idx="15" formatCode="d;@">
                  <c:v>43202.0</c:v>
                </c:pt>
                <c:pt idx="16" formatCode="d;@">
                  <c:v>43203.0</c:v>
                </c:pt>
                <c:pt idx="17" formatCode="d;@">
                  <c:v>43204.0</c:v>
                </c:pt>
                <c:pt idx="18" formatCode="d;@">
                  <c:v>43205.0</c:v>
                </c:pt>
                <c:pt idx="21" formatCode="d;@">
                  <c:v>43206.0</c:v>
                </c:pt>
                <c:pt idx="22" formatCode="d;@">
                  <c:v>43207.0</c:v>
                </c:pt>
                <c:pt idx="23" formatCode="d;@">
                  <c:v>43208.0</c:v>
                </c:pt>
                <c:pt idx="24" formatCode="d;@">
                  <c:v>43209.0</c:v>
                </c:pt>
                <c:pt idx="25" formatCode="d;@">
                  <c:v>43210.0</c:v>
                </c:pt>
                <c:pt idx="26" formatCode="d;@">
                  <c:v>43211.0</c:v>
                </c:pt>
                <c:pt idx="27" formatCode="d;@">
                  <c:v>43212.0</c:v>
                </c:pt>
                <c:pt idx="30" formatCode="d;@">
                  <c:v>43213.0</c:v>
                </c:pt>
                <c:pt idx="31" formatCode="d;@">
                  <c:v>43214.0</c:v>
                </c:pt>
                <c:pt idx="32" formatCode="d;@">
                  <c:v>43215.0</c:v>
                </c:pt>
                <c:pt idx="33" formatCode="d;@">
                  <c:v>43216.0</c:v>
                </c:pt>
                <c:pt idx="34" formatCode="d;@">
                  <c:v>43217.0</c:v>
                </c:pt>
                <c:pt idx="35" formatCode="d;@">
                  <c:v>43218.0</c:v>
                </c:pt>
                <c:pt idx="36" formatCode="d;@">
                  <c:v>43219.0</c:v>
                </c:pt>
                <c:pt idx="39" formatCode="d;@">
                  <c:v>43220.0</c:v>
                </c:pt>
              </c:numCache>
            </c:numRef>
          </c:cat>
          <c:val>
            <c:numRef>
              <c:f>APR!$V$11:$V$50</c:f>
              <c:numCache>
                <c:formatCode>#,##0.0</c:formatCode>
                <c:ptCount val="40"/>
                <c:pt idx="0" formatCode="#,##0.00">
                  <c:v>0.0</c:v>
                </c:pt>
                <c:pt idx="3" formatCode="#,##0.00">
                  <c:v>0.0</c:v>
                </c:pt>
                <c:pt idx="4" formatCode="#,##0.00">
                  <c:v>0.0</c:v>
                </c:pt>
                <c:pt idx="5" formatCode="#,##0.00">
                  <c:v>0.0</c:v>
                </c:pt>
                <c:pt idx="6" formatCode="#,##0.00">
                  <c:v>0.0</c:v>
                </c:pt>
                <c:pt idx="7" formatCode="#,##0.00">
                  <c:v>0.0</c:v>
                </c:pt>
                <c:pt idx="8" formatCode="#,##0.00">
                  <c:v>0.0</c:v>
                </c:pt>
                <c:pt idx="9" formatCode="#,##0.00">
                  <c:v>0.0</c:v>
                </c:pt>
                <c:pt idx="12" formatCode="#,##0.00">
                  <c:v>0.0</c:v>
                </c:pt>
                <c:pt idx="13" formatCode="#,##0.00">
                  <c:v>0.0</c:v>
                </c:pt>
                <c:pt idx="14" formatCode="#,##0.00">
                  <c:v>0.0</c:v>
                </c:pt>
                <c:pt idx="15" formatCode="#,##0.00">
                  <c:v>0.0</c:v>
                </c:pt>
                <c:pt idx="16" formatCode="#,##0.00">
                  <c:v>0.0</c:v>
                </c:pt>
                <c:pt idx="17" formatCode="#,##0.00">
                  <c:v>0.0</c:v>
                </c:pt>
                <c:pt idx="18" formatCode="#,##0.00">
                  <c:v>0.0</c:v>
                </c:pt>
                <c:pt idx="21" formatCode="#,##0.00">
                  <c:v>0.0</c:v>
                </c:pt>
                <c:pt idx="22" formatCode="#,##0.00">
                  <c:v>0.0</c:v>
                </c:pt>
                <c:pt idx="23" formatCode="#,##0.00">
                  <c:v>0.0</c:v>
                </c:pt>
                <c:pt idx="24" formatCode="#,##0.00">
                  <c:v>0.0</c:v>
                </c:pt>
                <c:pt idx="25" formatCode="#,##0.00">
                  <c:v>0.0</c:v>
                </c:pt>
                <c:pt idx="26" formatCode="#,##0.00">
                  <c:v>0.0</c:v>
                </c:pt>
                <c:pt idx="27" formatCode="#,##0.00">
                  <c:v>0.0</c:v>
                </c:pt>
                <c:pt idx="30" formatCode="#,##0.00">
                  <c:v>0.0</c:v>
                </c:pt>
                <c:pt idx="31" formatCode="#,##0.00">
                  <c:v>0.0</c:v>
                </c:pt>
                <c:pt idx="32" formatCode="#,##0.00">
                  <c:v>0.0</c:v>
                </c:pt>
                <c:pt idx="33" formatCode="#,##0.00">
                  <c:v>0.0</c:v>
                </c:pt>
                <c:pt idx="34" formatCode="#,##0.00">
                  <c:v>0.0</c:v>
                </c:pt>
                <c:pt idx="35" formatCode="#,##0.00">
                  <c:v>0.0</c:v>
                </c:pt>
                <c:pt idx="36" formatCode="#,##0.00">
                  <c:v>0.0</c:v>
                </c:pt>
                <c:pt idx="39" formatCode="#,##0.0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3D4-1F46-A4A2-A38A91739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-1961239480"/>
        <c:axId val="-1961695640"/>
      </c:barChart>
      <c:dateAx>
        <c:axId val="-1961666760"/>
        <c:scaling>
          <c:orientation val="minMax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-1961853032"/>
        <c:crosses val="autoZero"/>
        <c:auto val="1"/>
        <c:lblOffset val="100"/>
        <c:baseTimeUnit val="days"/>
      </c:dateAx>
      <c:valAx>
        <c:axId val="-1961853032"/>
        <c:scaling>
          <c:orientation val="minMax"/>
          <c:min val="0.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-1961666760"/>
        <c:crosses val="autoZero"/>
        <c:crossBetween val="between"/>
      </c:valAx>
      <c:valAx>
        <c:axId val="-1961695640"/>
        <c:scaling>
          <c:orientation val="minMax"/>
          <c:max val="6.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-1961239480"/>
        <c:crosses val="max"/>
        <c:crossBetween val="between"/>
      </c:valAx>
      <c:dateAx>
        <c:axId val="-1961239480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-1961695640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"/>
          <c:y val="0.016100445578174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37398098378587"/>
          <c:y val="0.197282609058995"/>
          <c:w val="0.863599047286655"/>
          <c:h val="0.70829764944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APR!$P$52:$V$52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APR!$P$53:$V$53</c:f>
              <c:numCache>
                <c:formatCode>General</c:formatCode>
                <c:ptCount val="7"/>
                <c:pt idx="0">
                  <c:v>5.0</c:v>
                </c:pt>
                <c:pt idx="1">
                  <c:v>4.0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4.0</c:v>
                </c:pt>
                <c:pt idx="6">
                  <c:v>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F0-9D46-828E-7B796B29D2FD}"/>
            </c:ext>
          </c:extLst>
        </c:ser>
        <c:ser>
          <c:idx val="1"/>
          <c:order val="1"/>
          <c:tx>
            <c:strRef>
              <c:f>APR!$O$54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APR!$P$52:$V$52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APR!$P$54:$V$54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F0-9D46-828E-7B796B29D2FD}"/>
            </c:ext>
          </c:extLst>
        </c:ser>
        <c:ser>
          <c:idx val="2"/>
          <c:order val="2"/>
          <c:tx>
            <c:strRef>
              <c:f>APR!$O$55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APR!$P$52:$V$52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APR!$P$55:$V$55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F0-9D46-828E-7B796B29D2FD}"/>
            </c:ext>
          </c:extLst>
        </c:ser>
        <c:ser>
          <c:idx val="4"/>
          <c:order val="3"/>
          <c:tx>
            <c:strRef>
              <c:f>APR!$O$56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APR!$P$52:$V$52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APR!$P$56:$V$56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2F0-9D46-828E-7B796B29D2FD}"/>
            </c:ext>
          </c:extLst>
        </c:ser>
        <c:ser>
          <c:idx val="6"/>
          <c:order val="4"/>
          <c:tx>
            <c:strRef>
              <c:f>APR!$O$59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APR!$P$52:$V$52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APR!$P$59:$V$59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2F0-9D46-828E-7B796B29D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61698856"/>
        <c:axId val="1842023640"/>
      </c:barChart>
      <c:catAx>
        <c:axId val="-1961698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842023640"/>
        <c:crosses val="autoZero"/>
        <c:auto val="0"/>
        <c:lblAlgn val="ctr"/>
        <c:lblOffset val="100"/>
        <c:noMultiLvlLbl val="0"/>
      </c:catAx>
      <c:valAx>
        <c:axId val="1842023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-1961698856"/>
        <c:crosses val="autoZero"/>
        <c:crossBetween val="between"/>
        <c:majorUnit val="1.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"/>
          <c:w val="0.852257405751388"/>
          <c:h val="0.0871063201234685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 monthly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  date</a:t>
            </a:r>
          </a:p>
        </c:rich>
      </c:tx>
      <c:layout>
        <c:manualLayout>
          <c:xMode val="edge"/>
          <c:yMode val="edge"/>
          <c:x val="0.120562605111022"/>
          <c:y val="0.32664719974798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982871397215672"/>
          <c:y val="0.0609140180360491"/>
          <c:w val="0.890845181904938"/>
          <c:h val="0.864771029434899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MAY!$C$4:$C$44</c:f>
              <c:numCache>
                <c:formatCode>d;@</c:formatCode>
                <c:ptCount val="40"/>
                <c:pt idx="0">
                  <c:v>43220.0</c:v>
                </c:pt>
                <c:pt idx="1">
                  <c:v>43221.0</c:v>
                </c:pt>
                <c:pt idx="2">
                  <c:v>43222.0</c:v>
                </c:pt>
                <c:pt idx="3">
                  <c:v>43223.0</c:v>
                </c:pt>
                <c:pt idx="4">
                  <c:v>43224.0</c:v>
                </c:pt>
                <c:pt idx="5">
                  <c:v>43225.0</c:v>
                </c:pt>
                <c:pt idx="6">
                  <c:v>43226.0</c:v>
                </c:pt>
                <c:pt idx="9">
                  <c:v>43227.0</c:v>
                </c:pt>
                <c:pt idx="10">
                  <c:v>43228.0</c:v>
                </c:pt>
                <c:pt idx="11">
                  <c:v>43229.0</c:v>
                </c:pt>
                <c:pt idx="12">
                  <c:v>43230.0</c:v>
                </c:pt>
                <c:pt idx="13">
                  <c:v>43231.0</c:v>
                </c:pt>
                <c:pt idx="14">
                  <c:v>43232.0</c:v>
                </c:pt>
                <c:pt idx="15">
                  <c:v>43233.0</c:v>
                </c:pt>
                <c:pt idx="18">
                  <c:v>43234.0</c:v>
                </c:pt>
                <c:pt idx="19">
                  <c:v>43235.0</c:v>
                </c:pt>
                <c:pt idx="20">
                  <c:v>43236.0</c:v>
                </c:pt>
                <c:pt idx="21">
                  <c:v>43237.0</c:v>
                </c:pt>
                <c:pt idx="22">
                  <c:v>43238.0</c:v>
                </c:pt>
                <c:pt idx="23">
                  <c:v>43239.0</c:v>
                </c:pt>
                <c:pt idx="24">
                  <c:v>43240.0</c:v>
                </c:pt>
                <c:pt idx="27">
                  <c:v>43241.0</c:v>
                </c:pt>
                <c:pt idx="28">
                  <c:v>43242.0</c:v>
                </c:pt>
                <c:pt idx="29">
                  <c:v>43243.0</c:v>
                </c:pt>
                <c:pt idx="30">
                  <c:v>43244.0</c:v>
                </c:pt>
                <c:pt idx="31">
                  <c:v>43245.0</c:v>
                </c:pt>
                <c:pt idx="32">
                  <c:v>43246.0</c:v>
                </c:pt>
                <c:pt idx="33">
                  <c:v>43247.0</c:v>
                </c:pt>
                <c:pt idx="36">
                  <c:v>43248.0</c:v>
                </c:pt>
                <c:pt idx="37">
                  <c:v>43249.0</c:v>
                </c:pt>
                <c:pt idx="38">
                  <c:v>43250.0</c:v>
                </c:pt>
                <c:pt idx="39">
                  <c:v>43251.0</c:v>
                </c:pt>
              </c:numCache>
            </c:numRef>
          </c:cat>
          <c:val>
            <c:numRef>
              <c:f>MAY!$Q$4:$Q$44</c:f>
              <c:numCache>
                <c:formatCode>#,##0.0</c:formatCode>
                <c:ptCount val="40"/>
                <c:pt idx="0">
                  <c:v>46.18289489793369</c:v>
                </c:pt>
                <c:pt idx="1">
                  <c:v>46.18289489793369</c:v>
                </c:pt>
                <c:pt idx="2">
                  <c:v>46.18289489793369</c:v>
                </c:pt>
                <c:pt idx="3">
                  <c:v>46.18289489793369</c:v>
                </c:pt>
                <c:pt idx="4">
                  <c:v>46.18289489793369</c:v>
                </c:pt>
                <c:pt idx="5">
                  <c:v>46.18289489793369</c:v>
                </c:pt>
                <c:pt idx="6">
                  <c:v>46.18289489793369</c:v>
                </c:pt>
                <c:pt idx="7">
                  <c:v>0.0</c:v>
                </c:pt>
                <c:pt idx="8">
                  <c:v>0.0</c:v>
                </c:pt>
                <c:pt idx="9">
                  <c:v>46.18289489793369</c:v>
                </c:pt>
                <c:pt idx="10">
                  <c:v>46.18289489793369</c:v>
                </c:pt>
                <c:pt idx="11">
                  <c:v>46.18289489793369</c:v>
                </c:pt>
                <c:pt idx="12">
                  <c:v>46.18289489793369</c:v>
                </c:pt>
                <c:pt idx="13">
                  <c:v>46.18289489793369</c:v>
                </c:pt>
                <c:pt idx="14">
                  <c:v>46.18289489793369</c:v>
                </c:pt>
                <c:pt idx="15">
                  <c:v>46.18289489793369</c:v>
                </c:pt>
                <c:pt idx="16">
                  <c:v>0.0</c:v>
                </c:pt>
                <c:pt idx="17">
                  <c:v>0.0</c:v>
                </c:pt>
                <c:pt idx="18">
                  <c:v>46.18289489793369</c:v>
                </c:pt>
                <c:pt idx="19">
                  <c:v>46.18289489793369</c:v>
                </c:pt>
                <c:pt idx="20">
                  <c:v>46.18289489793369</c:v>
                </c:pt>
                <c:pt idx="21">
                  <c:v>46.18289489793369</c:v>
                </c:pt>
                <c:pt idx="22">
                  <c:v>46.18289489793369</c:v>
                </c:pt>
                <c:pt idx="23">
                  <c:v>46.18289489793369</c:v>
                </c:pt>
                <c:pt idx="24">
                  <c:v>46.18289489793369</c:v>
                </c:pt>
                <c:pt idx="25">
                  <c:v>0.0</c:v>
                </c:pt>
                <c:pt idx="26">
                  <c:v>0.0</c:v>
                </c:pt>
                <c:pt idx="27">
                  <c:v>46.18289489793369</c:v>
                </c:pt>
                <c:pt idx="28">
                  <c:v>46.18289489793369</c:v>
                </c:pt>
                <c:pt idx="29">
                  <c:v>46.18289489793369</c:v>
                </c:pt>
                <c:pt idx="30">
                  <c:v>46.18289489793369</c:v>
                </c:pt>
                <c:pt idx="31">
                  <c:v>46.18289489793369</c:v>
                </c:pt>
                <c:pt idx="32">
                  <c:v>46.18289489793369</c:v>
                </c:pt>
                <c:pt idx="33">
                  <c:v>46.18289489793369</c:v>
                </c:pt>
                <c:pt idx="34">
                  <c:v>0.0</c:v>
                </c:pt>
                <c:pt idx="35">
                  <c:v>0.0</c:v>
                </c:pt>
                <c:pt idx="36">
                  <c:v>46.18289489793369</c:v>
                </c:pt>
                <c:pt idx="37">
                  <c:v>46.18289489793369</c:v>
                </c:pt>
                <c:pt idx="38">
                  <c:v>46.18289489793369</c:v>
                </c:pt>
                <c:pt idx="39">
                  <c:v>46.18289489793369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8F-7247-B867-296497956AF3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MAY!$C$4:$C$44</c:f>
              <c:numCache>
                <c:formatCode>d;@</c:formatCode>
                <c:ptCount val="40"/>
                <c:pt idx="0">
                  <c:v>43220.0</c:v>
                </c:pt>
                <c:pt idx="1">
                  <c:v>43221.0</c:v>
                </c:pt>
                <c:pt idx="2">
                  <c:v>43222.0</c:v>
                </c:pt>
                <c:pt idx="3">
                  <c:v>43223.0</c:v>
                </c:pt>
                <c:pt idx="4">
                  <c:v>43224.0</c:v>
                </c:pt>
                <c:pt idx="5">
                  <c:v>43225.0</c:v>
                </c:pt>
                <c:pt idx="6">
                  <c:v>43226.0</c:v>
                </c:pt>
                <c:pt idx="9">
                  <c:v>43227.0</c:v>
                </c:pt>
                <c:pt idx="10">
                  <c:v>43228.0</c:v>
                </c:pt>
                <c:pt idx="11">
                  <c:v>43229.0</c:v>
                </c:pt>
                <c:pt idx="12">
                  <c:v>43230.0</c:v>
                </c:pt>
                <c:pt idx="13">
                  <c:v>43231.0</c:v>
                </c:pt>
                <c:pt idx="14">
                  <c:v>43232.0</c:v>
                </c:pt>
                <c:pt idx="15">
                  <c:v>43233.0</c:v>
                </c:pt>
                <c:pt idx="18">
                  <c:v>43234.0</c:v>
                </c:pt>
                <c:pt idx="19">
                  <c:v>43235.0</c:v>
                </c:pt>
                <c:pt idx="20">
                  <c:v>43236.0</c:v>
                </c:pt>
                <c:pt idx="21">
                  <c:v>43237.0</c:v>
                </c:pt>
                <c:pt idx="22">
                  <c:v>43238.0</c:v>
                </c:pt>
                <c:pt idx="23">
                  <c:v>43239.0</c:v>
                </c:pt>
                <c:pt idx="24">
                  <c:v>43240.0</c:v>
                </c:pt>
                <c:pt idx="27">
                  <c:v>43241.0</c:v>
                </c:pt>
                <c:pt idx="28">
                  <c:v>43242.0</c:v>
                </c:pt>
                <c:pt idx="29">
                  <c:v>43243.0</c:v>
                </c:pt>
                <c:pt idx="30">
                  <c:v>43244.0</c:v>
                </c:pt>
                <c:pt idx="31">
                  <c:v>43245.0</c:v>
                </c:pt>
                <c:pt idx="32">
                  <c:v>43246.0</c:v>
                </c:pt>
                <c:pt idx="33">
                  <c:v>43247.0</c:v>
                </c:pt>
                <c:pt idx="36">
                  <c:v>43248.0</c:v>
                </c:pt>
                <c:pt idx="37">
                  <c:v>43249.0</c:v>
                </c:pt>
                <c:pt idx="38">
                  <c:v>43250.0</c:v>
                </c:pt>
                <c:pt idx="39">
                  <c:v>43251.0</c:v>
                </c:pt>
              </c:numCache>
            </c:numRef>
          </c:cat>
          <c:val>
            <c:numRef>
              <c:f>MAY!$AB$4:$AB$44</c:f>
              <c:numCache>
                <c:formatCode>#,##0.0</c:formatCode>
                <c:ptCount val="4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8F-7247-B867-296497956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2929560"/>
        <c:axId val="-1978581368"/>
      </c:lineChart>
      <c:dateAx>
        <c:axId val="-2032929560"/>
        <c:scaling>
          <c:orientation val="minMax"/>
          <c:max val="43251.0"/>
          <c:min val="43220.0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-1978581368"/>
        <c:crosses val="autoZero"/>
        <c:auto val="1"/>
        <c:lblOffset val="100"/>
        <c:baseTimeUnit val="days"/>
      </c:dateAx>
      <c:valAx>
        <c:axId val="-1978581368"/>
        <c:scaling>
          <c:orientation val="minMax"/>
          <c:min val="0.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-2032929560"/>
        <c:crossesAt val="43220.0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1505191362717"/>
          <c:y val="0.251853859212731"/>
          <c:w val="0.865392940718945"/>
          <c:h val="0.6448622676745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MAY!$C$6:$C$44</c:f>
              <c:numCache>
                <c:formatCode>d;@</c:formatCode>
                <c:ptCount val="39"/>
                <c:pt idx="0">
                  <c:v>43221.0</c:v>
                </c:pt>
                <c:pt idx="1">
                  <c:v>43222.0</c:v>
                </c:pt>
                <c:pt idx="2">
                  <c:v>43223.0</c:v>
                </c:pt>
                <c:pt idx="3">
                  <c:v>43224.0</c:v>
                </c:pt>
                <c:pt idx="4">
                  <c:v>43225.0</c:v>
                </c:pt>
                <c:pt idx="5">
                  <c:v>43226.0</c:v>
                </c:pt>
                <c:pt idx="8">
                  <c:v>43227.0</c:v>
                </c:pt>
                <c:pt idx="9">
                  <c:v>43228.0</c:v>
                </c:pt>
                <c:pt idx="10">
                  <c:v>43229.0</c:v>
                </c:pt>
                <c:pt idx="11">
                  <c:v>43230.0</c:v>
                </c:pt>
                <c:pt idx="12">
                  <c:v>43231.0</c:v>
                </c:pt>
                <c:pt idx="13">
                  <c:v>43232.0</c:v>
                </c:pt>
                <c:pt idx="14">
                  <c:v>43233.0</c:v>
                </c:pt>
                <c:pt idx="17">
                  <c:v>43234.0</c:v>
                </c:pt>
                <c:pt idx="18">
                  <c:v>43235.0</c:v>
                </c:pt>
                <c:pt idx="19">
                  <c:v>43236.0</c:v>
                </c:pt>
                <c:pt idx="20">
                  <c:v>43237.0</c:v>
                </c:pt>
                <c:pt idx="21">
                  <c:v>43238.0</c:v>
                </c:pt>
                <c:pt idx="22">
                  <c:v>43239.0</c:v>
                </c:pt>
                <c:pt idx="23">
                  <c:v>43240.0</c:v>
                </c:pt>
                <c:pt idx="26">
                  <c:v>43241.0</c:v>
                </c:pt>
                <c:pt idx="27">
                  <c:v>43242.0</c:v>
                </c:pt>
                <c:pt idx="28">
                  <c:v>43243.0</c:v>
                </c:pt>
                <c:pt idx="29">
                  <c:v>43244.0</c:v>
                </c:pt>
                <c:pt idx="30">
                  <c:v>43245.0</c:v>
                </c:pt>
                <c:pt idx="31">
                  <c:v>43246.0</c:v>
                </c:pt>
                <c:pt idx="32">
                  <c:v>43247.0</c:v>
                </c:pt>
                <c:pt idx="35">
                  <c:v>43248.0</c:v>
                </c:pt>
                <c:pt idx="36">
                  <c:v>43249.0</c:v>
                </c:pt>
                <c:pt idx="37">
                  <c:v>43250.0</c:v>
                </c:pt>
                <c:pt idx="38">
                  <c:v>43251.0</c:v>
                </c:pt>
              </c:numCache>
            </c:numRef>
          </c:cat>
          <c:val>
            <c:numRef>
              <c:f>MAY!$R$6:$R$44</c:f>
              <c:numCache>
                <c:formatCode>#,##0.0</c:formatCode>
                <c:ptCount val="3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35-E241-9662-268E77C19CE6}"/>
            </c:ext>
          </c:extLst>
        </c:ser>
        <c:ser>
          <c:idx val="1"/>
          <c:order val="1"/>
          <c:invertIfNegative val="0"/>
          <c:cat>
            <c:numRef>
              <c:f>MAY!$C$6:$C$44</c:f>
              <c:numCache>
                <c:formatCode>d;@</c:formatCode>
                <c:ptCount val="39"/>
                <c:pt idx="0">
                  <c:v>43221.0</c:v>
                </c:pt>
                <c:pt idx="1">
                  <c:v>43222.0</c:v>
                </c:pt>
                <c:pt idx="2">
                  <c:v>43223.0</c:v>
                </c:pt>
                <c:pt idx="3">
                  <c:v>43224.0</c:v>
                </c:pt>
                <c:pt idx="4">
                  <c:v>43225.0</c:v>
                </c:pt>
                <c:pt idx="5">
                  <c:v>43226.0</c:v>
                </c:pt>
                <c:pt idx="8">
                  <c:v>43227.0</c:v>
                </c:pt>
                <c:pt idx="9">
                  <c:v>43228.0</c:v>
                </c:pt>
                <c:pt idx="10">
                  <c:v>43229.0</c:v>
                </c:pt>
                <c:pt idx="11">
                  <c:v>43230.0</c:v>
                </c:pt>
                <c:pt idx="12">
                  <c:v>43231.0</c:v>
                </c:pt>
                <c:pt idx="13">
                  <c:v>43232.0</c:v>
                </c:pt>
                <c:pt idx="14">
                  <c:v>43233.0</c:v>
                </c:pt>
                <c:pt idx="17">
                  <c:v>43234.0</c:v>
                </c:pt>
                <c:pt idx="18">
                  <c:v>43235.0</c:v>
                </c:pt>
                <c:pt idx="19">
                  <c:v>43236.0</c:v>
                </c:pt>
                <c:pt idx="20">
                  <c:v>43237.0</c:v>
                </c:pt>
                <c:pt idx="21">
                  <c:v>43238.0</c:v>
                </c:pt>
                <c:pt idx="22">
                  <c:v>43239.0</c:v>
                </c:pt>
                <c:pt idx="23">
                  <c:v>43240.0</c:v>
                </c:pt>
                <c:pt idx="26">
                  <c:v>43241.0</c:v>
                </c:pt>
                <c:pt idx="27">
                  <c:v>43242.0</c:v>
                </c:pt>
                <c:pt idx="28">
                  <c:v>43243.0</c:v>
                </c:pt>
                <c:pt idx="29">
                  <c:v>43244.0</c:v>
                </c:pt>
                <c:pt idx="30">
                  <c:v>43245.0</c:v>
                </c:pt>
                <c:pt idx="31">
                  <c:v>43246.0</c:v>
                </c:pt>
                <c:pt idx="32">
                  <c:v>43247.0</c:v>
                </c:pt>
                <c:pt idx="35">
                  <c:v>43248.0</c:v>
                </c:pt>
                <c:pt idx="36">
                  <c:v>43249.0</c:v>
                </c:pt>
                <c:pt idx="37">
                  <c:v>43250.0</c:v>
                </c:pt>
                <c:pt idx="38">
                  <c:v>43251.0</c:v>
                </c:pt>
              </c:numCache>
            </c:numRef>
          </c:cat>
          <c:val>
            <c:numRef>
              <c:f>MAY!$T$6:$T$44</c:f>
              <c:numCache>
                <c:formatCode>#,##0.0</c:formatCode>
                <c:ptCount val="3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35-E241-9662-268E77C19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34437272"/>
        <c:axId val="-2034882168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MAY!$C$6:$C$44</c:f>
              <c:numCache>
                <c:formatCode>d;@</c:formatCode>
                <c:ptCount val="39"/>
                <c:pt idx="0">
                  <c:v>43221.0</c:v>
                </c:pt>
                <c:pt idx="1">
                  <c:v>43222.0</c:v>
                </c:pt>
                <c:pt idx="2">
                  <c:v>43223.0</c:v>
                </c:pt>
                <c:pt idx="3">
                  <c:v>43224.0</c:v>
                </c:pt>
                <c:pt idx="4">
                  <c:v>43225.0</c:v>
                </c:pt>
                <c:pt idx="5">
                  <c:v>43226.0</c:v>
                </c:pt>
                <c:pt idx="8">
                  <c:v>43227.0</c:v>
                </c:pt>
                <c:pt idx="9">
                  <c:v>43228.0</c:v>
                </c:pt>
                <c:pt idx="10">
                  <c:v>43229.0</c:v>
                </c:pt>
                <c:pt idx="11">
                  <c:v>43230.0</c:v>
                </c:pt>
                <c:pt idx="12">
                  <c:v>43231.0</c:v>
                </c:pt>
                <c:pt idx="13">
                  <c:v>43232.0</c:v>
                </c:pt>
                <c:pt idx="14">
                  <c:v>43233.0</c:v>
                </c:pt>
                <c:pt idx="17">
                  <c:v>43234.0</c:v>
                </c:pt>
                <c:pt idx="18">
                  <c:v>43235.0</c:v>
                </c:pt>
                <c:pt idx="19">
                  <c:v>43236.0</c:v>
                </c:pt>
                <c:pt idx="20">
                  <c:v>43237.0</c:v>
                </c:pt>
                <c:pt idx="21">
                  <c:v>43238.0</c:v>
                </c:pt>
                <c:pt idx="22">
                  <c:v>43239.0</c:v>
                </c:pt>
                <c:pt idx="23">
                  <c:v>43240.0</c:v>
                </c:pt>
                <c:pt idx="26">
                  <c:v>43241.0</c:v>
                </c:pt>
                <c:pt idx="27">
                  <c:v>43242.0</c:v>
                </c:pt>
                <c:pt idx="28">
                  <c:v>43243.0</c:v>
                </c:pt>
                <c:pt idx="29">
                  <c:v>43244.0</c:v>
                </c:pt>
                <c:pt idx="30">
                  <c:v>43245.0</c:v>
                </c:pt>
                <c:pt idx="31">
                  <c:v>43246.0</c:v>
                </c:pt>
                <c:pt idx="32">
                  <c:v>43247.0</c:v>
                </c:pt>
                <c:pt idx="35">
                  <c:v>43248.0</c:v>
                </c:pt>
                <c:pt idx="36">
                  <c:v>43249.0</c:v>
                </c:pt>
                <c:pt idx="37">
                  <c:v>43250.0</c:v>
                </c:pt>
                <c:pt idx="38">
                  <c:v>43251.0</c:v>
                </c:pt>
              </c:numCache>
            </c:numRef>
          </c:cat>
          <c:val>
            <c:numRef>
              <c:f>MAY!$U$6:$U$44</c:f>
              <c:numCache>
                <c:formatCode>#,##0.0</c:formatCode>
                <c:ptCount val="3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35-E241-9662-268E77C19CE6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MAY!$C$6:$C$44</c:f>
              <c:numCache>
                <c:formatCode>d;@</c:formatCode>
                <c:ptCount val="39"/>
                <c:pt idx="0">
                  <c:v>43221.0</c:v>
                </c:pt>
                <c:pt idx="1">
                  <c:v>43222.0</c:v>
                </c:pt>
                <c:pt idx="2">
                  <c:v>43223.0</c:v>
                </c:pt>
                <c:pt idx="3">
                  <c:v>43224.0</c:v>
                </c:pt>
                <c:pt idx="4">
                  <c:v>43225.0</c:v>
                </c:pt>
                <c:pt idx="5">
                  <c:v>43226.0</c:v>
                </c:pt>
                <c:pt idx="8">
                  <c:v>43227.0</c:v>
                </c:pt>
                <c:pt idx="9">
                  <c:v>43228.0</c:v>
                </c:pt>
                <c:pt idx="10">
                  <c:v>43229.0</c:v>
                </c:pt>
                <c:pt idx="11">
                  <c:v>43230.0</c:v>
                </c:pt>
                <c:pt idx="12">
                  <c:v>43231.0</c:v>
                </c:pt>
                <c:pt idx="13">
                  <c:v>43232.0</c:v>
                </c:pt>
                <c:pt idx="14">
                  <c:v>43233.0</c:v>
                </c:pt>
                <c:pt idx="17">
                  <c:v>43234.0</c:v>
                </c:pt>
                <c:pt idx="18">
                  <c:v>43235.0</c:v>
                </c:pt>
                <c:pt idx="19">
                  <c:v>43236.0</c:v>
                </c:pt>
                <c:pt idx="20">
                  <c:v>43237.0</c:v>
                </c:pt>
                <c:pt idx="21">
                  <c:v>43238.0</c:v>
                </c:pt>
                <c:pt idx="22">
                  <c:v>43239.0</c:v>
                </c:pt>
                <c:pt idx="23">
                  <c:v>43240.0</c:v>
                </c:pt>
                <c:pt idx="26">
                  <c:v>43241.0</c:v>
                </c:pt>
                <c:pt idx="27">
                  <c:v>43242.0</c:v>
                </c:pt>
                <c:pt idx="28">
                  <c:v>43243.0</c:v>
                </c:pt>
                <c:pt idx="29">
                  <c:v>43244.0</c:v>
                </c:pt>
                <c:pt idx="30">
                  <c:v>43245.0</c:v>
                </c:pt>
                <c:pt idx="31">
                  <c:v>43246.0</c:v>
                </c:pt>
                <c:pt idx="32">
                  <c:v>43247.0</c:v>
                </c:pt>
                <c:pt idx="35">
                  <c:v>43248.0</c:v>
                </c:pt>
                <c:pt idx="36">
                  <c:v>43249.0</c:v>
                </c:pt>
                <c:pt idx="37">
                  <c:v>43250.0</c:v>
                </c:pt>
                <c:pt idx="38">
                  <c:v>43251.0</c:v>
                </c:pt>
              </c:numCache>
            </c:numRef>
          </c:cat>
          <c:val>
            <c:numRef>
              <c:f>MAY!$V$6:$V$44</c:f>
              <c:numCache>
                <c:formatCode>#,##0.00</c:formatCode>
                <c:ptCount val="3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35-E241-9662-268E77C19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1827457400"/>
        <c:axId val="1827460696"/>
      </c:barChart>
      <c:dateAx>
        <c:axId val="-2034437272"/>
        <c:scaling>
          <c:orientation val="minMax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-2034882168"/>
        <c:crosses val="autoZero"/>
        <c:auto val="1"/>
        <c:lblOffset val="100"/>
        <c:baseTimeUnit val="days"/>
      </c:dateAx>
      <c:valAx>
        <c:axId val="-2034882168"/>
        <c:scaling>
          <c:orientation val="minMax"/>
          <c:min val="0.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-2034437272"/>
        <c:crosses val="autoZero"/>
        <c:crossBetween val="between"/>
      </c:valAx>
      <c:valAx>
        <c:axId val="1827460696"/>
        <c:scaling>
          <c:orientation val="minMax"/>
          <c:max val="6.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1827457400"/>
        <c:crosses val="max"/>
        <c:crossBetween val="between"/>
      </c:valAx>
      <c:dateAx>
        <c:axId val="1827457400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182746069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"/>
          <c:y val="0.016100445578174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37398098378587"/>
          <c:y val="0.197282609058995"/>
          <c:w val="0.863599047286655"/>
          <c:h val="0.70829764944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MAY!$O$53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MAY!$P$52:$V$52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MAY!$P$53:$V$53</c:f>
              <c:numCache>
                <c:formatCode>General</c:formatCode>
                <c:ptCount val="7"/>
                <c:pt idx="0">
                  <c:v>4.0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4.0</c:v>
                </c:pt>
                <c:pt idx="5">
                  <c:v>4.0</c:v>
                </c:pt>
                <c:pt idx="6">
                  <c:v>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B2-D14F-A5FC-4D5476E40399}"/>
            </c:ext>
          </c:extLst>
        </c:ser>
        <c:ser>
          <c:idx val="1"/>
          <c:order val="1"/>
          <c:tx>
            <c:strRef>
              <c:f>MAY!$O$54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MAY!$P$52:$V$52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MAY!$P$54:$V$54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B2-D14F-A5FC-4D5476E40399}"/>
            </c:ext>
          </c:extLst>
        </c:ser>
        <c:ser>
          <c:idx val="2"/>
          <c:order val="2"/>
          <c:tx>
            <c:strRef>
              <c:f>MAY!$O$55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MAY!$P$52:$V$52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MAY!$P$55:$V$55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B2-D14F-A5FC-4D5476E40399}"/>
            </c:ext>
          </c:extLst>
        </c:ser>
        <c:ser>
          <c:idx val="4"/>
          <c:order val="3"/>
          <c:tx>
            <c:strRef>
              <c:f>MAY!$O$56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MAY!$P$52:$V$52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MAY!$P$56:$V$56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B2-D14F-A5FC-4D5476E40399}"/>
            </c:ext>
          </c:extLst>
        </c:ser>
        <c:ser>
          <c:idx val="6"/>
          <c:order val="4"/>
          <c:tx>
            <c:strRef>
              <c:f>MAY!$O$59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MAY!$P$52:$V$52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MAY!$P$59:$V$59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EB2-D14F-A5FC-4D5476E40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32939528"/>
        <c:axId val="1850704408"/>
      </c:barChart>
      <c:catAx>
        <c:axId val="-2032939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850704408"/>
        <c:crosses val="autoZero"/>
        <c:auto val="0"/>
        <c:lblAlgn val="ctr"/>
        <c:lblOffset val="100"/>
        <c:noMultiLvlLbl val="0"/>
      </c:catAx>
      <c:valAx>
        <c:axId val="1850704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-2032939528"/>
        <c:crosses val="autoZero"/>
        <c:crossBetween val="between"/>
        <c:majorUnit val="1.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"/>
          <c:w val="0.852257405751388"/>
          <c:h val="0.0871063201234685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 monthly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  date</a:t>
            </a:r>
          </a:p>
        </c:rich>
      </c:tx>
      <c:layout>
        <c:manualLayout>
          <c:xMode val="edge"/>
          <c:yMode val="edge"/>
          <c:x val="0.120562605111022"/>
          <c:y val="0.32664719974798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982871397215672"/>
          <c:y val="0.0609140180360491"/>
          <c:w val="0.890845181904938"/>
          <c:h val="0.864771029434899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JUN!$C$8:$C$46</c:f>
              <c:numCache>
                <c:formatCode>d;@</c:formatCode>
                <c:ptCount val="39"/>
                <c:pt idx="0">
                  <c:v>43251.0</c:v>
                </c:pt>
                <c:pt idx="1">
                  <c:v>43252.0</c:v>
                </c:pt>
                <c:pt idx="2">
                  <c:v>43253.0</c:v>
                </c:pt>
                <c:pt idx="3">
                  <c:v>43254.0</c:v>
                </c:pt>
                <c:pt idx="6">
                  <c:v>43255.0</c:v>
                </c:pt>
                <c:pt idx="7">
                  <c:v>43256.0</c:v>
                </c:pt>
                <c:pt idx="8">
                  <c:v>43257.0</c:v>
                </c:pt>
                <c:pt idx="9">
                  <c:v>43258.0</c:v>
                </c:pt>
                <c:pt idx="10">
                  <c:v>43259.0</c:v>
                </c:pt>
                <c:pt idx="11">
                  <c:v>43260.0</c:v>
                </c:pt>
                <c:pt idx="12">
                  <c:v>43261.0</c:v>
                </c:pt>
                <c:pt idx="15">
                  <c:v>43262.0</c:v>
                </c:pt>
                <c:pt idx="16">
                  <c:v>43263.0</c:v>
                </c:pt>
                <c:pt idx="17">
                  <c:v>43264.0</c:v>
                </c:pt>
                <c:pt idx="18">
                  <c:v>43265.0</c:v>
                </c:pt>
                <c:pt idx="19">
                  <c:v>43266.0</c:v>
                </c:pt>
                <c:pt idx="20">
                  <c:v>43267.0</c:v>
                </c:pt>
                <c:pt idx="21">
                  <c:v>43268.0</c:v>
                </c:pt>
                <c:pt idx="24">
                  <c:v>43269.0</c:v>
                </c:pt>
                <c:pt idx="25">
                  <c:v>43270.0</c:v>
                </c:pt>
                <c:pt idx="26">
                  <c:v>43271.0</c:v>
                </c:pt>
                <c:pt idx="27">
                  <c:v>43272.0</c:v>
                </c:pt>
                <c:pt idx="28">
                  <c:v>43273.0</c:v>
                </c:pt>
                <c:pt idx="29">
                  <c:v>43274.0</c:v>
                </c:pt>
                <c:pt idx="30">
                  <c:v>43275.0</c:v>
                </c:pt>
                <c:pt idx="33">
                  <c:v>43276.0</c:v>
                </c:pt>
                <c:pt idx="34">
                  <c:v>43277.0</c:v>
                </c:pt>
                <c:pt idx="35">
                  <c:v>43278.0</c:v>
                </c:pt>
                <c:pt idx="36">
                  <c:v>43279.0</c:v>
                </c:pt>
                <c:pt idx="37">
                  <c:v>43280.0</c:v>
                </c:pt>
                <c:pt idx="38">
                  <c:v>43281.0</c:v>
                </c:pt>
              </c:numCache>
            </c:numRef>
          </c:cat>
          <c:val>
            <c:numRef>
              <c:f>JUN!$Q$8:$Q$46</c:f>
              <c:numCache>
                <c:formatCode>#,##0.0</c:formatCode>
                <c:ptCount val="39"/>
                <c:pt idx="0">
                  <c:v>51.16931343800497</c:v>
                </c:pt>
                <c:pt idx="1">
                  <c:v>51.16931343800497</c:v>
                </c:pt>
                <c:pt idx="2">
                  <c:v>51.16931343800497</c:v>
                </c:pt>
                <c:pt idx="3">
                  <c:v>51.16931343800497</c:v>
                </c:pt>
                <c:pt idx="4">
                  <c:v>0.0</c:v>
                </c:pt>
                <c:pt idx="5">
                  <c:v>0.0</c:v>
                </c:pt>
                <c:pt idx="6">
                  <c:v>51.16931343800497</c:v>
                </c:pt>
                <c:pt idx="7">
                  <c:v>51.16931343800497</c:v>
                </c:pt>
                <c:pt idx="8">
                  <c:v>51.16931343800497</c:v>
                </c:pt>
                <c:pt idx="9">
                  <c:v>51.16931343800497</c:v>
                </c:pt>
                <c:pt idx="10">
                  <c:v>51.16931343800497</c:v>
                </c:pt>
                <c:pt idx="11">
                  <c:v>51.16931343800497</c:v>
                </c:pt>
                <c:pt idx="12">
                  <c:v>51.16931343800497</c:v>
                </c:pt>
                <c:pt idx="13">
                  <c:v>0.0</c:v>
                </c:pt>
                <c:pt idx="14">
                  <c:v>0.0</c:v>
                </c:pt>
                <c:pt idx="15">
                  <c:v>51.16931343800497</c:v>
                </c:pt>
                <c:pt idx="16">
                  <c:v>51.16931343800497</c:v>
                </c:pt>
                <c:pt idx="17">
                  <c:v>51.16931343800497</c:v>
                </c:pt>
                <c:pt idx="18">
                  <c:v>51.16931343800497</c:v>
                </c:pt>
                <c:pt idx="19">
                  <c:v>51.16931343800497</c:v>
                </c:pt>
                <c:pt idx="20">
                  <c:v>51.16931343800497</c:v>
                </c:pt>
                <c:pt idx="21">
                  <c:v>51.16931343800497</c:v>
                </c:pt>
                <c:pt idx="22">
                  <c:v>0.0</c:v>
                </c:pt>
                <c:pt idx="23">
                  <c:v>0.0</c:v>
                </c:pt>
                <c:pt idx="24">
                  <c:v>51.16931343800497</c:v>
                </c:pt>
                <c:pt idx="25">
                  <c:v>51.16931343800497</c:v>
                </c:pt>
                <c:pt idx="26">
                  <c:v>51.16931343800497</c:v>
                </c:pt>
                <c:pt idx="27">
                  <c:v>51.16931343800497</c:v>
                </c:pt>
                <c:pt idx="28">
                  <c:v>51.16931343800497</c:v>
                </c:pt>
                <c:pt idx="29">
                  <c:v>51.16931343800497</c:v>
                </c:pt>
                <c:pt idx="30">
                  <c:v>51.16931343800497</c:v>
                </c:pt>
                <c:pt idx="31">
                  <c:v>0.0</c:v>
                </c:pt>
                <c:pt idx="32">
                  <c:v>0.0</c:v>
                </c:pt>
                <c:pt idx="33">
                  <c:v>51.16931343800497</c:v>
                </c:pt>
                <c:pt idx="34">
                  <c:v>51.16931343800497</c:v>
                </c:pt>
                <c:pt idx="35">
                  <c:v>51.16931343800497</c:v>
                </c:pt>
                <c:pt idx="36">
                  <c:v>51.16931343800497</c:v>
                </c:pt>
                <c:pt idx="37">
                  <c:v>51.16931343800497</c:v>
                </c:pt>
                <c:pt idx="38">
                  <c:v>51.16931343800497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DB3-4D40-A6B4-02AB131ABCAB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JUN!$C$8:$C$46</c:f>
              <c:numCache>
                <c:formatCode>d;@</c:formatCode>
                <c:ptCount val="39"/>
                <c:pt idx="0">
                  <c:v>43251.0</c:v>
                </c:pt>
                <c:pt idx="1">
                  <c:v>43252.0</c:v>
                </c:pt>
                <c:pt idx="2">
                  <c:v>43253.0</c:v>
                </c:pt>
                <c:pt idx="3">
                  <c:v>43254.0</c:v>
                </c:pt>
                <c:pt idx="6">
                  <c:v>43255.0</c:v>
                </c:pt>
                <c:pt idx="7">
                  <c:v>43256.0</c:v>
                </c:pt>
                <c:pt idx="8">
                  <c:v>43257.0</c:v>
                </c:pt>
                <c:pt idx="9">
                  <c:v>43258.0</c:v>
                </c:pt>
                <c:pt idx="10">
                  <c:v>43259.0</c:v>
                </c:pt>
                <c:pt idx="11">
                  <c:v>43260.0</c:v>
                </c:pt>
                <c:pt idx="12">
                  <c:v>43261.0</c:v>
                </c:pt>
                <c:pt idx="15">
                  <c:v>43262.0</c:v>
                </c:pt>
                <c:pt idx="16">
                  <c:v>43263.0</c:v>
                </c:pt>
                <c:pt idx="17">
                  <c:v>43264.0</c:v>
                </c:pt>
                <c:pt idx="18">
                  <c:v>43265.0</c:v>
                </c:pt>
                <c:pt idx="19">
                  <c:v>43266.0</c:v>
                </c:pt>
                <c:pt idx="20">
                  <c:v>43267.0</c:v>
                </c:pt>
                <c:pt idx="21">
                  <c:v>43268.0</c:v>
                </c:pt>
                <c:pt idx="24">
                  <c:v>43269.0</c:v>
                </c:pt>
                <c:pt idx="25">
                  <c:v>43270.0</c:v>
                </c:pt>
                <c:pt idx="26">
                  <c:v>43271.0</c:v>
                </c:pt>
                <c:pt idx="27">
                  <c:v>43272.0</c:v>
                </c:pt>
                <c:pt idx="28">
                  <c:v>43273.0</c:v>
                </c:pt>
                <c:pt idx="29">
                  <c:v>43274.0</c:v>
                </c:pt>
                <c:pt idx="30">
                  <c:v>43275.0</c:v>
                </c:pt>
                <c:pt idx="33">
                  <c:v>43276.0</c:v>
                </c:pt>
                <c:pt idx="34">
                  <c:v>43277.0</c:v>
                </c:pt>
                <c:pt idx="35">
                  <c:v>43278.0</c:v>
                </c:pt>
                <c:pt idx="36">
                  <c:v>43279.0</c:v>
                </c:pt>
                <c:pt idx="37">
                  <c:v>43280.0</c:v>
                </c:pt>
                <c:pt idx="38">
                  <c:v>43281.0</c:v>
                </c:pt>
              </c:numCache>
            </c:numRef>
          </c:cat>
          <c:val>
            <c:numRef>
              <c:f>JUN!$AB$8:$AB$46</c:f>
              <c:numCache>
                <c:formatCode>#,##0.0</c:formatCode>
                <c:ptCount val="3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B3-4D40-A6B4-02AB131AB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7872680"/>
        <c:axId val="-1957879112"/>
      </c:lineChart>
      <c:dateAx>
        <c:axId val="-1957872680"/>
        <c:scaling>
          <c:orientation val="minMax"/>
          <c:max val="43281.0"/>
          <c:min val="43251.0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-1957879112"/>
        <c:crosses val="autoZero"/>
        <c:auto val="1"/>
        <c:lblOffset val="100"/>
        <c:baseTimeUnit val="days"/>
      </c:dateAx>
      <c:valAx>
        <c:axId val="-1957879112"/>
        <c:scaling>
          <c:orientation val="minMax"/>
          <c:min val="0.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-1957872680"/>
        <c:crossesAt val="43251.0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1505191362717"/>
          <c:y val="0.251853859212731"/>
          <c:w val="0.865392940718945"/>
          <c:h val="0.6448622676745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JUN!$C$9:$C$46</c:f>
              <c:numCache>
                <c:formatCode>d;@</c:formatCode>
                <c:ptCount val="38"/>
                <c:pt idx="0">
                  <c:v>43252.0</c:v>
                </c:pt>
                <c:pt idx="1">
                  <c:v>43253.0</c:v>
                </c:pt>
                <c:pt idx="2">
                  <c:v>43254.0</c:v>
                </c:pt>
                <c:pt idx="5">
                  <c:v>43255.0</c:v>
                </c:pt>
                <c:pt idx="6">
                  <c:v>43256.0</c:v>
                </c:pt>
                <c:pt idx="7">
                  <c:v>43257.0</c:v>
                </c:pt>
                <c:pt idx="8">
                  <c:v>43258.0</c:v>
                </c:pt>
                <c:pt idx="9">
                  <c:v>43259.0</c:v>
                </c:pt>
                <c:pt idx="10">
                  <c:v>43260.0</c:v>
                </c:pt>
                <c:pt idx="11">
                  <c:v>43261.0</c:v>
                </c:pt>
                <c:pt idx="14">
                  <c:v>43262.0</c:v>
                </c:pt>
                <c:pt idx="15">
                  <c:v>43263.0</c:v>
                </c:pt>
                <c:pt idx="16">
                  <c:v>43264.0</c:v>
                </c:pt>
                <c:pt idx="17">
                  <c:v>43265.0</c:v>
                </c:pt>
                <c:pt idx="18">
                  <c:v>43266.0</c:v>
                </c:pt>
                <c:pt idx="19">
                  <c:v>43267.0</c:v>
                </c:pt>
                <c:pt idx="20">
                  <c:v>43268.0</c:v>
                </c:pt>
                <c:pt idx="23">
                  <c:v>43269.0</c:v>
                </c:pt>
                <c:pt idx="24">
                  <c:v>43270.0</c:v>
                </c:pt>
                <c:pt idx="25">
                  <c:v>43271.0</c:v>
                </c:pt>
                <c:pt idx="26">
                  <c:v>43272.0</c:v>
                </c:pt>
                <c:pt idx="27">
                  <c:v>43273.0</c:v>
                </c:pt>
                <c:pt idx="28">
                  <c:v>43274.0</c:v>
                </c:pt>
                <c:pt idx="29">
                  <c:v>43275.0</c:v>
                </c:pt>
                <c:pt idx="32">
                  <c:v>43276.0</c:v>
                </c:pt>
                <c:pt idx="33">
                  <c:v>43277.0</c:v>
                </c:pt>
                <c:pt idx="34">
                  <c:v>43278.0</c:v>
                </c:pt>
                <c:pt idx="35">
                  <c:v>43279.0</c:v>
                </c:pt>
                <c:pt idx="36">
                  <c:v>43280.0</c:v>
                </c:pt>
                <c:pt idx="37">
                  <c:v>43281.0</c:v>
                </c:pt>
              </c:numCache>
            </c:numRef>
          </c:cat>
          <c:val>
            <c:numRef>
              <c:f>JUN!$R$9:$R$46</c:f>
              <c:numCache>
                <c:formatCode>#,##0.0</c:formatCode>
                <c:ptCount val="3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9F-9648-94A7-26FB234101F6}"/>
            </c:ext>
          </c:extLst>
        </c:ser>
        <c:ser>
          <c:idx val="1"/>
          <c:order val="1"/>
          <c:invertIfNegative val="0"/>
          <c:cat>
            <c:numRef>
              <c:f>JUN!$C$9:$C$46</c:f>
              <c:numCache>
                <c:formatCode>d;@</c:formatCode>
                <c:ptCount val="38"/>
                <c:pt idx="0">
                  <c:v>43252.0</c:v>
                </c:pt>
                <c:pt idx="1">
                  <c:v>43253.0</c:v>
                </c:pt>
                <c:pt idx="2">
                  <c:v>43254.0</c:v>
                </c:pt>
                <c:pt idx="5">
                  <c:v>43255.0</c:v>
                </c:pt>
                <c:pt idx="6">
                  <c:v>43256.0</c:v>
                </c:pt>
                <c:pt idx="7">
                  <c:v>43257.0</c:v>
                </c:pt>
                <c:pt idx="8">
                  <c:v>43258.0</c:v>
                </c:pt>
                <c:pt idx="9">
                  <c:v>43259.0</c:v>
                </c:pt>
                <c:pt idx="10">
                  <c:v>43260.0</c:v>
                </c:pt>
                <c:pt idx="11">
                  <c:v>43261.0</c:v>
                </c:pt>
                <c:pt idx="14">
                  <c:v>43262.0</c:v>
                </c:pt>
                <c:pt idx="15">
                  <c:v>43263.0</c:v>
                </c:pt>
                <c:pt idx="16">
                  <c:v>43264.0</c:v>
                </c:pt>
                <c:pt idx="17">
                  <c:v>43265.0</c:v>
                </c:pt>
                <c:pt idx="18">
                  <c:v>43266.0</c:v>
                </c:pt>
                <c:pt idx="19">
                  <c:v>43267.0</c:v>
                </c:pt>
                <c:pt idx="20">
                  <c:v>43268.0</c:v>
                </c:pt>
                <c:pt idx="23">
                  <c:v>43269.0</c:v>
                </c:pt>
                <c:pt idx="24">
                  <c:v>43270.0</c:v>
                </c:pt>
                <c:pt idx="25">
                  <c:v>43271.0</c:v>
                </c:pt>
                <c:pt idx="26">
                  <c:v>43272.0</c:v>
                </c:pt>
                <c:pt idx="27">
                  <c:v>43273.0</c:v>
                </c:pt>
                <c:pt idx="28">
                  <c:v>43274.0</c:v>
                </c:pt>
                <c:pt idx="29">
                  <c:v>43275.0</c:v>
                </c:pt>
                <c:pt idx="32">
                  <c:v>43276.0</c:v>
                </c:pt>
                <c:pt idx="33">
                  <c:v>43277.0</c:v>
                </c:pt>
                <c:pt idx="34">
                  <c:v>43278.0</c:v>
                </c:pt>
                <c:pt idx="35">
                  <c:v>43279.0</c:v>
                </c:pt>
                <c:pt idx="36">
                  <c:v>43280.0</c:v>
                </c:pt>
                <c:pt idx="37">
                  <c:v>43281.0</c:v>
                </c:pt>
              </c:numCache>
            </c:numRef>
          </c:cat>
          <c:val>
            <c:numRef>
              <c:f>JUN!$T$9:$T$46</c:f>
              <c:numCache>
                <c:formatCode>#,##0.0</c:formatCode>
                <c:ptCount val="3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9F-9648-94A7-26FB23410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57939432"/>
        <c:axId val="-1957936088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JUN!$C$9:$C$46</c:f>
              <c:numCache>
                <c:formatCode>d;@</c:formatCode>
                <c:ptCount val="38"/>
                <c:pt idx="0">
                  <c:v>43252.0</c:v>
                </c:pt>
                <c:pt idx="1">
                  <c:v>43253.0</c:v>
                </c:pt>
                <c:pt idx="2">
                  <c:v>43254.0</c:v>
                </c:pt>
                <c:pt idx="5">
                  <c:v>43255.0</c:v>
                </c:pt>
                <c:pt idx="6">
                  <c:v>43256.0</c:v>
                </c:pt>
                <c:pt idx="7">
                  <c:v>43257.0</c:v>
                </c:pt>
                <c:pt idx="8">
                  <c:v>43258.0</c:v>
                </c:pt>
                <c:pt idx="9">
                  <c:v>43259.0</c:v>
                </c:pt>
                <c:pt idx="10">
                  <c:v>43260.0</c:v>
                </c:pt>
                <c:pt idx="11">
                  <c:v>43261.0</c:v>
                </c:pt>
                <c:pt idx="14">
                  <c:v>43262.0</c:v>
                </c:pt>
                <c:pt idx="15">
                  <c:v>43263.0</c:v>
                </c:pt>
                <c:pt idx="16">
                  <c:v>43264.0</c:v>
                </c:pt>
                <c:pt idx="17">
                  <c:v>43265.0</c:v>
                </c:pt>
                <c:pt idx="18">
                  <c:v>43266.0</c:v>
                </c:pt>
                <c:pt idx="19">
                  <c:v>43267.0</c:v>
                </c:pt>
                <c:pt idx="20">
                  <c:v>43268.0</c:v>
                </c:pt>
                <c:pt idx="23">
                  <c:v>43269.0</c:v>
                </c:pt>
                <c:pt idx="24">
                  <c:v>43270.0</c:v>
                </c:pt>
                <c:pt idx="25">
                  <c:v>43271.0</c:v>
                </c:pt>
                <c:pt idx="26">
                  <c:v>43272.0</c:v>
                </c:pt>
                <c:pt idx="27">
                  <c:v>43273.0</c:v>
                </c:pt>
                <c:pt idx="28">
                  <c:v>43274.0</c:v>
                </c:pt>
                <c:pt idx="29">
                  <c:v>43275.0</c:v>
                </c:pt>
                <c:pt idx="32">
                  <c:v>43276.0</c:v>
                </c:pt>
                <c:pt idx="33">
                  <c:v>43277.0</c:v>
                </c:pt>
                <c:pt idx="34">
                  <c:v>43278.0</c:v>
                </c:pt>
                <c:pt idx="35">
                  <c:v>43279.0</c:v>
                </c:pt>
                <c:pt idx="36">
                  <c:v>43280.0</c:v>
                </c:pt>
                <c:pt idx="37">
                  <c:v>43281.0</c:v>
                </c:pt>
              </c:numCache>
            </c:numRef>
          </c:cat>
          <c:val>
            <c:numRef>
              <c:f>JUN!$U$9:$U$46</c:f>
              <c:numCache>
                <c:formatCode>#,##0.0</c:formatCode>
                <c:ptCount val="3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9F-9648-94A7-26FB234101F6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JUN!$C$9:$C$46</c:f>
              <c:numCache>
                <c:formatCode>d;@</c:formatCode>
                <c:ptCount val="38"/>
                <c:pt idx="0">
                  <c:v>43252.0</c:v>
                </c:pt>
                <c:pt idx="1">
                  <c:v>43253.0</c:v>
                </c:pt>
                <c:pt idx="2">
                  <c:v>43254.0</c:v>
                </c:pt>
                <c:pt idx="5">
                  <c:v>43255.0</c:v>
                </c:pt>
                <c:pt idx="6">
                  <c:v>43256.0</c:v>
                </c:pt>
                <c:pt idx="7">
                  <c:v>43257.0</c:v>
                </c:pt>
                <c:pt idx="8">
                  <c:v>43258.0</c:v>
                </c:pt>
                <c:pt idx="9">
                  <c:v>43259.0</c:v>
                </c:pt>
                <c:pt idx="10">
                  <c:v>43260.0</c:v>
                </c:pt>
                <c:pt idx="11">
                  <c:v>43261.0</c:v>
                </c:pt>
                <c:pt idx="14">
                  <c:v>43262.0</c:v>
                </c:pt>
                <c:pt idx="15">
                  <c:v>43263.0</c:v>
                </c:pt>
                <c:pt idx="16">
                  <c:v>43264.0</c:v>
                </c:pt>
                <c:pt idx="17">
                  <c:v>43265.0</c:v>
                </c:pt>
                <c:pt idx="18">
                  <c:v>43266.0</c:v>
                </c:pt>
                <c:pt idx="19">
                  <c:v>43267.0</c:v>
                </c:pt>
                <c:pt idx="20">
                  <c:v>43268.0</c:v>
                </c:pt>
                <c:pt idx="23">
                  <c:v>43269.0</c:v>
                </c:pt>
                <c:pt idx="24">
                  <c:v>43270.0</c:v>
                </c:pt>
                <c:pt idx="25">
                  <c:v>43271.0</c:v>
                </c:pt>
                <c:pt idx="26">
                  <c:v>43272.0</c:v>
                </c:pt>
                <c:pt idx="27">
                  <c:v>43273.0</c:v>
                </c:pt>
                <c:pt idx="28">
                  <c:v>43274.0</c:v>
                </c:pt>
                <c:pt idx="29">
                  <c:v>43275.0</c:v>
                </c:pt>
                <c:pt idx="32">
                  <c:v>43276.0</c:v>
                </c:pt>
                <c:pt idx="33">
                  <c:v>43277.0</c:v>
                </c:pt>
                <c:pt idx="34">
                  <c:v>43278.0</c:v>
                </c:pt>
                <c:pt idx="35">
                  <c:v>43279.0</c:v>
                </c:pt>
                <c:pt idx="36">
                  <c:v>43280.0</c:v>
                </c:pt>
                <c:pt idx="37">
                  <c:v>43281.0</c:v>
                </c:pt>
              </c:numCache>
            </c:numRef>
          </c:cat>
          <c:val>
            <c:numRef>
              <c:f>JUN!$V$9:$V$46</c:f>
              <c:numCache>
                <c:formatCode>#,##0.00</c:formatCode>
                <c:ptCount val="3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69F-9648-94A7-26FB23410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-1957929688"/>
        <c:axId val="-1957933032"/>
      </c:barChart>
      <c:dateAx>
        <c:axId val="-1957939432"/>
        <c:scaling>
          <c:orientation val="minMax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-1957936088"/>
        <c:crosses val="autoZero"/>
        <c:auto val="1"/>
        <c:lblOffset val="100"/>
        <c:baseTimeUnit val="days"/>
      </c:dateAx>
      <c:valAx>
        <c:axId val="-1957936088"/>
        <c:scaling>
          <c:orientation val="minMax"/>
          <c:min val="0.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-1957939432"/>
        <c:crosses val="autoZero"/>
        <c:crossBetween val="between"/>
      </c:valAx>
      <c:valAx>
        <c:axId val="-1957933032"/>
        <c:scaling>
          <c:orientation val="minMax"/>
          <c:max val="6.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-1957929688"/>
        <c:crosses val="max"/>
        <c:crossBetween val="between"/>
      </c:valAx>
      <c:dateAx>
        <c:axId val="-1957929688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-1957933032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77664701987164"/>
          <c:y val="0.0844723109476618"/>
          <c:w val="0.906387176315453"/>
          <c:h val="0.7262696850393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'MY STATS'!$W$28</c:f>
              <c:strCache>
                <c:ptCount val="1"/>
                <c:pt idx="0">
                  <c:v>total below target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'MY STATS'!$E$29:$E$40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'MY STATS'!$W$29:$W$40</c:f>
              <c:numCache>
                <c:formatCode>#,##0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73-5C49-944B-B519219512AC}"/>
            </c:ext>
          </c:extLst>
        </c:ser>
        <c:ser>
          <c:idx val="2"/>
          <c:order val="1"/>
          <c:tx>
            <c:strRef>
              <c:f>'MY STATS'!$Y$28</c:f>
              <c:strCache>
                <c:ptCount val="1"/>
                <c:pt idx="0">
                  <c:v>total above target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'MY STATS'!$E$29:$E$40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'MY STATS'!$Y$29:$Y$40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73-5C49-944B-B519219512AC}"/>
            </c:ext>
          </c:extLst>
        </c:ser>
        <c:ser>
          <c:idx val="0"/>
          <c:order val="3"/>
          <c:tx>
            <c:strRef>
              <c:f>'MY STATS'!$T$28</c:f>
              <c:strCache>
                <c:ptCount val="1"/>
                <c:pt idx="0">
                  <c:v> this month</c:v>
                </c:pt>
              </c:strCache>
            </c:strRef>
          </c:tx>
          <c:spPr>
            <a:solidFill>
              <a:srgbClr val="FFFF33">
                <a:alpha val="80000"/>
              </a:srgbClr>
            </a:solidFill>
            <a:ln>
              <a:solidFill>
                <a:srgbClr val="002060"/>
              </a:solidFill>
            </a:ln>
          </c:spPr>
          <c:invertIfNegative val="0"/>
          <c:cat>
            <c:strRef>
              <c:f>'MY STATS'!$E$29:$E$40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'MY STATS'!$T$29:$T$40</c:f>
              <c:numCache>
                <c:formatCode>#,##0</c:formatCode>
                <c:ptCount val="12"/>
                <c:pt idx="0">
                  <c:v>0.0</c:v>
                </c:pt>
                <c:pt idx="1">
                  <c:v>-3.72822033971606E-58</c:v>
                </c:pt>
                <c:pt idx="2">
                  <c:v>-4.97096045295475E-58</c:v>
                </c:pt>
                <c:pt idx="3">
                  <c:v>-6.21370056619343E-58</c:v>
                </c:pt>
                <c:pt idx="4">
                  <c:v>-4.97096045295475E-58</c:v>
                </c:pt>
                <c:pt idx="5">
                  <c:v>-4.97096045295475E-58</c:v>
                </c:pt>
                <c:pt idx="6">
                  <c:v>-6.21370056619343E-58</c:v>
                </c:pt>
                <c:pt idx="7">
                  <c:v>-4.97096045295475E-58</c:v>
                </c:pt>
                <c:pt idx="8">
                  <c:v>-4.97096045295475E-58</c:v>
                </c:pt>
                <c:pt idx="9">
                  <c:v>-6.21370056619343E-58</c:v>
                </c:pt>
                <c:pt idx="10">
                  <c:v>-4.97096045295475E-58</c:v>
                </c:pt>
                <c:pt idx="11">
                  <c:v>-6.21370056619343E-58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73-5C49-944B-B51921951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-2035490216"/>
        <c:axId val="-2035504248"/>
      </c:barChart>
      <c:lineChart>
        <c:grouping val="standard"/>
        <c:varyColors val="0"/>
        <c:ser>
          <c:idx val="4"/>
          <c:order val="2"/>
          <c:tx>
            <c:v> original target</c:v>
          </c:tx>
          <c:spPr>
            <a:ln w="28575">
              <a:noFill/>
            </a:ln>
          </c:spPr>
          <c:marker>
            <c:symbol val="diamond"/>
            <c:size val="14"/>
            <c:spPr>
              <a:solidFill>
                <a:srgbClr val="FF1111"/>
              </a:solidFill>
              <a:ln w="47625">
                <a:solidFill>
                  <a:srgbClr val="FFFF00"/>
                </a:solidFill>
              </a:ln>
            </c:spPr>
          </c:marker>
          <c:val>
            <c:numRef>
              <c:f>'MY STATS'!$L$29:$L$40</c:f>
              <c:numCache>
                <c:formatCode>#,##0</c:formatCode>
                <c:ptCount val="12"/>
                <c:pt idx="0">
                  <c:v>31.0</c:v>
                </c:pt>
                <c:pt idx="1">
                  <c:v>28.0</c:v>
                </c:pt>
                <c:pt idx="2">
                  <c:v>31.0</c:v>
                </c:pt>
                <c:pt idx="3">
                  <c:v>30.0</c:v>
                </c:pt>
                <c:pt idx="4">
                  <c:v>31.0</c:v>
                </c:pt>
                <c:pt idx="5">
                  <c:v>30.0</c:v>
                </c:pt>
                <c:pt idx="6">
                  <c:v>31.0</c:v>
                </c:pt>
                <c:pt idx="7">
                  <c:v>31.0</c:v>
                </c:pt>
                <c:pt idx="8">
                  <c:v>30.0</c:v>
                </c:pt>
                <c:pt idx="9">
                  <c:v>31.0</c:v>
                </c:pt>
                <c:pt idx="10">
                  <c:v>30.0</c:v>
                </c:pt>
                <c:pt idx="11">
                  <c:v>31.0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373-5C49-944B-B519219512AC}"/>
            </c:ext>
          </c:extLst>
        </c:ser>
        <c:ser>
          <c:idx val="5"/>
          <c:order val="4"/>
          <c:tx>
            <c:v>label</c:v>
          </c:tx>
          <c:spPr>
            <a:ln w="28575"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.0116819886730702"/>
                  <c:y val="0.00220501423709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10383989931618"/>
                  <c:y val="0.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116819886730702"/>
                  <c:y val="0.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0778799244871348"/>
                  <c:y val="0.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0908599119016575"/>
                  <c:y val="0.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064899937072613"/>
                  <c:y val="0.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116819886730702"/>
                  <c:y val="0.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010383989931618"/>
                  <c:y val="0.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0103838877269927"/>
                  <c:y val="0.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0142778839513495"/>
                  <c:y val="0.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010383989931618"/>
                  <c:y val="0.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.00908599119016572"/>
                  <c:y val="0.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spPr>
              <a:gradFill>
                <a:gsLst>
                  <a:gs pos="100000">
                    <a:srgbClr val="5E9EFF">
                      <a:alpha val="0"/>
                    </a:srgbClr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'MY STATS'!$AA$29:$AA$40</c:f>
              <c:numCache>
                <c:formatCode>#,##0</c:formatCode>
                <c:ptCount val="12"/>
                <c:pt idx="0">
                  <c:v>0.0</c:v>
                </c:pt>
                <c:pt idx="1">
                  <c:v>-3.72822033971606E-58</c:v>
                </c:pt>
                <c:pt idx="2">
                  <c:v>-4.97096045295475E-58</c:v>
                </c:pt>
                <c:pt idx="3">
                  <c:v>-6.21370056619343E-58</c:v>
                </c:pt>
                <c:pt idx="4">
                  <c:v>-4.97096045295475E-58</c:v>
                </c:pt>
                <c:pt idx="5">
                  <c:v>-4.97096045295475E-58</c:v>
                </c:pt>
                <c:pt idx="6">
                  <c:v>-6.21370056619343E-58</c:v>
                </c:pt>
                <c:pt idx="7">
                  <c:v>-4.97096045295475E-58</c:v>
                </c:pt>
                <c:pt idx="8">
                  <c:v>-4.97096045295475E-58</c:v>
                </c:pt>
                <c:pt idx="9">
                  <c:v>-6.21370056619343E-58</c:v>
                </c:pt>
                <c:pt idx="10">
                  <c:v>-4.97096045295475E-58</c:v>
                </c:pt>
                <c:pt idx="11">
                  <c:v>-6.21370056619343E-58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373-5C49-944B-B519219512AC}"/>
            </c:ext>
          </c:extLst>
        </c:ser>
        <c:ser>
          <c:idx val="6"/>
          <c:order val="5"/>
          <c:tx>
            <c:v> new target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FF33"/>
              </a:solidFill>
              <a:ln w="57150">
                <a:solidFill>
                  <a:srgbClr val="080000"/>
                </a:solidFill>
              </a:ln>
            </c:spPr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spPr>
              <a:solidFill>
                <a:srgbClr val="0070C0"/>
              </a:solidFill>
            </c:spPr>
            <c:txPr>
              <a:bodyPr/>
              <a:lstStyle/>
              <a:p>
                <a:pPr>
                  <a:defRPr b="1">
                    <a:solidFill>
                      <a:srgbClr val="FFFF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'MY STATS'!$AB$29:$AB$40</c:f>
              <c:numCache>
                <c:formatCode>0</c:formatCode>
                <c:ptCount val="12"/>
                <c:pt idx="0">
                  <c:v>-1.0</c:v>
                </c:pt>
                <c:pt idx="1">
                  <c:v>30.59880239520958</c:v>
                </c:pt>
                <c:pt idx="2">
                  <c:v>-1.0</c:v>
                </c:pt>
                <c:pt idx="3">
                  <c:v>-1.0</c:v>
                </c:pt>
                <c:pt idx="4">
                  <c:v>-1.0</c:v>
                </c:pt>
                <c:pt idx="5">
                  <c:v>-1.0</c:v>
                </c:pt>
                <c:pt idx="6">
                  <c:v>-1.0</c:v>
                </c:pt>
                <c:pt idx="7">
                  <c:v>-1.0</c:v>
                </c:pt>
                <c:pt idx="8">
                  <c:v>-1.0</c:v>
                </c:pt>
                <c:pt idx="9">
                  <c:v>-1.0</c:v>
                </c:pt>
                <c:pt idx="10">
                  <c:v>-1.0</c:v>
                </c:pt>
                <c:pt idx="11">
                  <c:v>-1.0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373-5C49-944B-B519219512AC}"/>
            </c:ext>
          </c:extLst>
        </c:ser>
        <c:ser>
          <c:idx val="3"/>
          <c:order val="6"/>
          <c:tx>
            <c:v>new target 'swim line'</c:v>
          </c:tx>
          <c:spPr>
            <a:ln w="28575">
              <a:noFill/>
            </a:ln>
          </c:spPr>
          <c:marker>
            <c:symbol val="dash"/>
            <c:size val="2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</c:marker>
          <c:dPt>
            <c:idx val="7"/>
            <c:marker>
              <c:symbol val="dash"/>
              <c:size val="26"/>
              <c:spPr>
                <a:solidFill>
                  <a:schemeClr val="tx2"/>
                </a:solidFill>
                <a:ln w="3175">
                  <a:solidFill>
                    <a:schemeClr val="bg1"/>
                  </a:solidFill>
                </a:ln>
              </c:spPr>
            </c:marker>
            <c:bubble3D val="0"/>
          </c:dPt>
          <c:val>
            <c:numRef>
              <c:f>'MY STATS'!$Z$29:$Z$40</c:f>
              <c:numCache>
                <c:formatCode>General</c:formatCode>
                <c:ptCount val="12"/>
                <c:pt idx="0">
                  <c:v>-0.31</c:v>
                </c:pt>
                <c:pt idx="1">
                  <c:v>7.649700598802394</c:v>
                </c:pt>
                <c:pt idx="2">
                  <c:v>-0.31</c:v>
                </c:pt>
                <c:pt idx="3">
                  <c:v>-0.3</c:v>
                </c:pt>
                <c:pt idx="4">
                  <c:v>-0.31</c:v>
                </c:pt>
                <c:pt idx="5">
                  <c:v>-0.3</c:v>
                </c:pt>
                <c:pt idx="6">
                  <c:v>-0.31</c:v>
                </c:pt>
                <c:pt idx="7">
                  <c:v>-0.31</c:v>
                </c:pt>
                <c:pt idx="8">
                  <c:v>-0.3</c:v>
                </c:pt>
                <c:pt idx="9">
                  <c:v>-0.31</c:v>
                </c:pt>
                <c:pt idx="10">
                  <c:v>-0.3</c:v>
                </c:pt>
                <c:pt idx="11">
                  <c:v>-0.31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373-5C49-944B-B51921951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5490216"/>
        <c:axId val="-2035504248"/>
      </c:lineChart>
      <c:catAx>
        <c:axId val="-2035490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solidFill>
            <a:srgbClr val="0043C8"/>
          </a:solidFill>
        </c:spPr>
        <c:txPr>
          <a:bodyPr/>
          <a:lstStyle/>
          <a:p>
            <a:pPr>
              <a:defRPr sz="2200" b="1">
                <a:solidFill>
                  <a:srgbClr val="FFFF00"/>
                </a:solidFill>
              </a:defRPr>
            </a:pPr>
            <a:endParaRPr lang="en-US"/>
          </a:p>
        </c:txPr>
        <c:crossAx val="-2035504248"/>
        <c:crosses val="autoZero"/>
        <c:auto val="1"/>
        <c:lblAlgn val="ctr"/>
        <c:lblOffset val="100"/>
        <c:noMultiLvlLbl val="0"/>
      </c:catAx>
      <c:valAx>
        <c:axId val="-2035504248"/>
        <c:scaling>
          <c:orientation val="minMax"/>
          <c:min val="0.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0043C8"/>
                </a:solidFill>
              </a:defRPr>
            </a:pPr>
            <a:endParaRPr lang="en-US"/>
          </a:p>
        </c:txPr>
        <c:crossAx val="-203549021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176986240853663"/>
          <c:y val="0.926033036631292"/>
          <c:w val="0.963295459493041"/>
          <c:h val="0.0695714224580623"/>
        </c:manualLayout>
      </c:layout>
      <c:overlay val="0"/>
      <c:spPr>
        <a:ln w="3175">
          <a:solidFill>
            <a:srgbClr val="002060"/>
          </a:solidFill>
        </a:ln>
      </c:spPr>
      <c:txPr>
        <a:bodyPr/>
        <a:lstStyle/>
        <a:p>
          <a:pPr>
            <a:defRPr sz="1800" b="1"/>
          </a:pPr>
          <a:endParaRPr lang="en-U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7" l="0.700000000000003" r="0.700000000000003" t="0.750000000000007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"/>
          <c:y val="0.016100445578174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37398098378587"/>
          <c:y val="0.197282609058995"/>
          <c:w val="0.863599047286655"/>
          <c:h val="0.70829764944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JUN!$P$52:$V$52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JUN!$P$53:$V$53</c:f>
              <c:numCache>
                <c:formatCode>General</c:formatCode>
                <c:ptCount val="7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  <c:pt idx="3">
                  <c:v>4.0</c:v>
                </c:pt>
                <c:pt idx="4">
                  <c:v>5.0</c:v>
                </c:pt>
                <c:pt idx="5">
                  <c:v>5.0</c:v>
                </c:pt>
                <c:pt idx="6">
                  <c:v>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B0-E945-8B69-D5E8B714A1FC}"/>
            </c:ext>
          </c:extLst>
        </c:ser>
        <c:ser>
          <c:idx val="1"/>
          <c:order val="1"/>
          <c:tx>
            <c:strRef>
              <c:f>JUN!$O$54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JUN!$P$52:$V$52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JUN!$P$54:$V$54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B0-E945-8B69-D5E8B714A1FC}"/>
            </c:ext>
          </c:extLst>
        </c:ser>
        <c:ser>
          <c:idx val="2"/>
          <c:order val="2"/>
          <c:tx>
            <c:strRef>
              <c:f>JUN!$O$55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JUN!$P$52:$V$52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JUN!$P$55:$V$55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BB0-E945-8B69-D5E8B714A1FC}"/>
            </c:ext>
          </c:extLst>
        </c:ser>
        <c:ser>
          <c:idx val="4"/>
          <c:order val="3"/>
          <c:tx>
            <c:strRef>
              <c:f>JUN!$O$56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JUN!$P$52:$V$52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JUN!$P$56:$V$56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BB0-E945-8B69-D5E8B714A1FC}"/>
            </c:ext>
          </c:extLst>
        </c:ser>
        <c:ser>
          <c:idx val="6"/>
          <c:order val="4"/>
          <c:tx>
            <c:strRef>
              <c:f>JUN!$O$59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JUN!$P$52:$V$52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JUN!$P$59:$V$59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BB0-E945-8B69-D5E8B714A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58013976"/>
        <c:axId val="-1958021656"/>
      </c:barChart>
      <c:catAx>
        <c:axId val="-1958013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-1958021656"/>
        <c:crosses val="autoZero"/>
        <c:auto val="0"/>
        <c:lblAlgn val="ctr"/>
        <c:lblOffset val="100"/>
        <c:noMultiLvlLbl val="0"/>
      </c:catAx>
      <c:valAx>
        <c:axId val="-1958021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-1958013976"/>
        <c:crosses val="autoZero"/>
        <c:crossBetween val="between"/>
        <c:majorUnit val="1.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"/>
          <c:w val="0.852257405751388"/>
          <c:h val="0.0871063201234685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 monthly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  date</a:t>
            </a:r>
          </a:p>
        </c:rich>
      </c:tx>
      <c:layout>
        <c:manualLayout>
          <c:xMode val="edge"/>
          <c:yMode val="edge"/>
          <c:x val="0.120562605111022"/>
          <c:y val="0.32664719974798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982871397215672"/>
          <c:y val="0.0609140180360491"/>
          <c:w val="0.890845181904938"/>
          <c:h val="0.864771029434899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JUL!$C$10:$D$51</c:f>
              <c:numCache>
                <c:formatCode>d;@</c:formatCode>
                <c:ptCount val="42"/>
                <c:pt idx="0">
                  <c:v>43281.0</c:v>
                </c:pt>
                <c:pt idx="1">
                  <c:v>43282.0</c:v>
                </c:pt>
                <c:pt idx="4">
                  <c:v>43283.0</c:v>
                </c:pt>
                <c:pt idx="5">
                  <c:v>43284.0</c:v>
                </c:pt>
                <c:pt idx="6">
                  <c:v>43285.0</c:v>
                </c:pt>
                <c:pt idx="7">
                  <c:v>43286.0</c:v>
                </c:pt>
                <c:pt idx="8">
                  <c:v>43287.0</c:v>
                </c:pt>
                <c:pt idx="9">
                  <c:v>43288.0</c:v>
                </c:pt>
                <c:pt idx="10">
                  <c:v>43289.0</c:v>
                </c:pt>
                <c:pt idx="13">
                  <c:v>43290.0</c:v>
                </c:pt>
                <c:pt idx="14">
                  <c:v>43291.0</c:v>
                </c:pt>
                <c:pt idx="15">
                  <c:v>43292.0</c:v>
                </c:pt>
                <c:pt idx="16">
                  <c:v>43293.0</c:v>
                </c:pt>
                <c:pt idx="17">
                  <c:v>43294.0</c:v>
                </c:pt>
                <c:pt idx="18">
                  <c:v>43295.0</c:v>
                </c:pt>
                <c:pt idx="19">
                  <c:v>43296.0</c:v>
                </c:pt>
                <c:pt idx="22">
                  <c:v>43297.0</c:v>
                </c:pt>
                <c:pt idx="23">
                  <c:v>43298.0</c:v>
                </c:pt>
                <c:pt idx="24">
                  <c:v>43299.0</c:v>
                </c:pt>
                <c:pt idx="25">
                  <c:v>43300.0</c:v>
                </c:pt>
                <c:pt idx="26">
                  <c:v>43301.0</c:v>
                </c:pt>
                <c:pt idx="27">
                  <c:v>43302.0</c:v>
                </c:pt>
                <c:pt idx="28">
                  <c:v>43303.0</c:v>
                </c:pt>
                <c:pt idx="31">
                  <c:v>43304.0</c:v>
                </c:pt>
                <c:pt idx="32">
                  <c:v>43305.0</c:v>
                </c:pt>
                <c:pt idx="33">
                  <c:v>43306.0</c:v>
                </c:pt>
                <c:pt idx="34">
                  <c:v>43307.0</c:v>
                </c:pt>
                <c:pt idx="35">
                  <c:v>43308.0</c:v>
                </c:pt>
                <c:pt idx="36">
                  <c:v>43309.0</c:v>
                </c:pt>
                <c:pt idx="37">
                  <c:v>43310.0</c:v>
                </c:pt>
                <c:pt idx="40">
                  <c:v>43311.0</c:v>
                </c:pt>
                <c:pt idx="41">
                  <c:v>43312.0</c:v>
                </c:pt>
              </c:numCache>
            </c:numRef>
          </c:cat>
          <c:val>
            <c:numRef>
              <c:f>JUL!$Q$10:$Q$51</c:f>
              <c:numCache>
                <c:formatCode>#,##0.0</c:formatCode>
                <c:ptCount val="42"/>
                <c:pt idx="0">
                  <c:v>61.49378019504921</c:v>
                </c:pt>
                <c:pt idx="1">
                  <c:v>61.49378019504921</c:v>
                </c:pt>
                <c:pt idx="2">
                  <c:v>0.0</c:v>
                </c:pt>
                <c:pt idx="3">
                  <c:v>0.0</c:v>
                </c:pt>
                <c:pt idx="4">
                  <c:v>61.49378019504921</c:v>
                </c:pt>
                <c:pt idx="5">
                  <c:v>61.49378019504921</c:v>
                </c:pt>
                <c:pt idx="6">
                  <c:v>61.49378019504921</c:v>
                </c:pt>
                <c:pt idx="7">
                  <c:v>61.49378019504921</c:v>
                </c:pt>
                <c:pt idx="8">
                  <c:v>61.49378019504921</c:v>
                </c:pt>
                <c:pt idx="9">
                  <c:v>61.49378019504921</c:v>
                </c:pt>
                <c:pt idx="10">
                  <c:v>61.49378019504921</c:v>
                </c:pt>
                <c:pt idx="11">
                  <c:v>0.0</c:v>
                </c:pt>
                <c:pt idx="12">
                  <c:v>0.0</c:v>
                </c:pt>
                <c:pt idx="13">
                  <c:v>61.49378019504921</c:v>
                </c:pt>
                <c:pt idx="14">
                  <c:v>61.49378019504921</c:v>
                </c:pt>
                <c:pt idx="15">
                  <c:v>61.49378019504921</c:v>
                </c:pt>
                <c:pt idx="16">
                  <c:v>61.49378019504921</c:v>
                </c:pt>
                <c:pt idx="17">
                  <c:v>61.49378019504921</c:v>
                </c:pt>
                <c:pt idx="18">
                  <c:v>61.49378019504921</c:v>
                </c:pt>
                <c:pt idx="19">
                  <c:v>61.49378019504921</c:v>
                </c:pt>
                <c:pt idx="20">
                  <c:v>0.0</c:v>
                </c:pt>
                <c:pt idx="21">
                  <c:v>0.0</c:v>
                </c:pt>
                <c:pt idx="22">
                  <c:v>61.49378019504921</c:v>
                </c:pt>
                <c:pt idx="23">
                  <c:v>61.49378019504921</c:v>
                </c:pt>
                <c:pt idx="24">
                  <c:v>61.49378019504921</c:v>
                </c:pt>
                <c:pt idx="25">
                  <c:v>61.49378019504921</c:v>
                </c:pt>
                <c:pt idx="26">
                  <c:v>61.49378019504921</c:v>
                </c:pt>
                <c:pt idx="27">
                  <c:v>61.49378019504921</c:v>
                </c:pt>
                <c:pt idx="28">
                  <c:v>61.49378019504921</c:v>
                </c:pt>
                <c:pt idx="29">
                  <c:v>0.0</c:v>
                </c:pt>
                <c:pt idx="30">
                  <c:v>0.0</c:v>
                </c:pt>
                <c:pt idx="31">
                  <c:v>61.49378019504921</c:v>
                </c:pt>
                <c:pt idx="32">
                  <c:v>61.49378019504921</c:v>
                </c:pt>
                <c:pt idx="33">
                  <c:v>61.49378019504921</c:v>
                </c:pt>
                <c:pt idx="34">
                  <c:v>61.49378019504921</c:v>
                </c:pt>
                <c:pt idx="35">
                  <c:v>61.49378019504921</c:v>
                </c:pt>
                <c:pt idx="36">
                  <c:v>61.49378019504921</c:v>
                </c:pt>
                <c:pt idx="37">
                  <c:v>61.49378019504921</c:v>
                </c:pt>
                <c:pt idx="38">
                  <c:v>0.0</c:v>
                </c:pt>
                <c:pt idx="39">
                  <c:v>0.0</c:v>
                </c:pt>
                <c:pt idx="40">
                  <c:v>61.49378019504921</c:v>
                </c:pt>
                <c:pt idx="41">
                  <c:v>61.49378019504921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5B-A843-A788-A080819216E7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JUL!$C$10:$D$51</c:f>
              <c:numCache>
                <c:formatCode>d;@</c:formatCode>
                <c:ptCount val="42"/>
                <c:pt idx="0">
                  <c:v>43281.0</c:v>
                </c:pt>
                <c:pt idx="1">
                  <c:v>43282.0</c:v>
                </c:pt>
                <c:pt idx="4">
                  <c:v>43283.0</c:v>
                </c:pt>
                <c:pt idx="5">
                  <c:v>43284.0</c:v>
                </c:pt>
                <c:pt idx="6">
                  <c:v>43285.0</c:v>
                </c:pt>
                <c:pt idx="7">
                  <c:v>43286.0</c:v>
                </c:pt>
                <c:pt idx="8">
                  <c:v>43287.0</c:v>
                </c:pt>
                <c:pt idx="9">
                  <c:v>43288.0</c:v>
                </c:pt>
                <c:pt idx="10">
                  <c:v>43289.0</c:v>
                </c:pt>
                <c:pt idx="13">
                  <c:v>43290.0</c:v>
                </c:pt>
                <c:pt idx="14">
                  <c:v>43291.0</c:v>
                </c:pt>
                <c:pt idx="15">
                  <c:v>43292.0</c:v>
                </c:pt>
                <c:pt idx="16">
                  <c:v>43293.0</c:v>
                </c:pt>
                <c:pt idx="17">
                  <c:v>43294.0</c:v>
                </c:pt>
                <c:pt idx="18">
                  <c:v>43295.0</c:v>
                </c:pt>
                <c:pt idx="19">
                  <c:v>43296.0</c:v>
                </c:pt>
                <c:pt idx="22">
                  <c:v>43297.0</c:v>
                </c:pt>
                <c:pt idx="23">
                  <c:v>43298.0</c:v>
                </c:pt>
                <c:pt idx="24">
                  <c:v>43299.0</c:v>
                </c:pt>
                <c:pt idx="25">
                  <c:v>43300.0</c:v>
                </c:pt>
                <c:pt idx="26">
                  <c:v>43301.0</c:v>
                </c:pt>
                <c:pt idx="27">
                  <c:v>43302.0</c:v>
                </c:pt>
                <c:pt idx="28">
                  <c:v>43303.0</c:v>
                </c:pt>
                <c:pt idx="31">
                  <c:v>43304.0</c:v>
                </c:pt>
                <c:pt idx="32">
                  <c:v>43305.0</c:v>
                </c:pt>
                <c:pt idx="33">
                  <c:v>43306.0</c:v>
                </c:pt>
                <c:pt idx="34">
                  <c:v>43307.0</c:v>
                </c:pt>
                <c:pt idx="35">
                  <c:v>43308.0</c:v>
                </c:pt>
                <c:pt idx="36">
                  <c:v>43309.0</c:v>
                </c:pt>
                <c:pt idx="37">
                  <c:v>43310.0</c:v>
                </c:pt>
                <c:pt idx="40">
                  <c:v>43311.0</c:v>
                </c:pt>
                <c:pt idx="41">
                  <c:v>43312.0</c:v>
                </c:pt>
              </c:numCache>
            </c:numRef>
          </c:cat>
          <c:val>
            <c:numRef>
              <c:f>JUL!$AB$10:$AB$51</c:f>
              <c:numCache>
                <c:formatCode>#,##0.0</c:formatCode>
                <c:ptCount val="4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5B-A843-A788-A08081921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583880"/>
        <c:axId val="1829579384"/>
      </c:lineChart>
      <c:dateAx>
        <c:axId val="1829583880"/>
        <c:scaling>
          <c:orientation val="minMax"/>
          <c:max val="43312.0"/>
          <c:min val="43281.0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829579384"/>
        <c:crosses val="autoZero"/>
        <c:auto val="1"/>
        <c:lblOffset val="100"/>
        <c:baseTimeUnit val="days"/>
      </c:dateAx>
      <c:valAx>
        <c:axId val="1829579384"/>
        <c:scaling>
          <c:orientation val="minMax"/>
          <c:min val="0.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829583880"/>
        <c:crossesAt val="43281.0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1505191362717"/>
          <c:y val="0.251853859212731"/>
          <c:w val="0.865392940718945"/>
          <c:h val="0.6448622676745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JUL!$C$11:$C$51</c:f>
              <c:numCache>
                <c:formatCode>General</c:formatCode>
                <c:ptCount val="41"/>
                <c:pt idx="0" formatCode="d;@">
                  <c:v>43282.0</c:v>
                </c:pt>
                <c:pt idx="3" formatCode="d;@">
                  <c:v>43283.0</c:v>
                </c:pt>
                <c:pt idx="4" formatCode="d;@">
                  <c:v>43284.0</c:v>
                </c:pt>
                <c:pt idx="5" formatCode="d;@">
                  <c:v>43285.0</c:v>
                </c:pt>
                <c:pt idx="6" formatCode="d;@">
                  <c:v>43286.0</c:v>
                </c:pt>
                <c:pt idx="7" formatCode="d;@">
                  <c:v>43287.0</c:v>
                </c:pt>
                <c:pt idx="8" formatCode="d;@">
                  <c:v>43288.0</c:v>
                </c:pt>
                <c:pt idx="9" formatCode="d;@">
                  <c:v>43289.0</c:v>
                </c:pt>
                <c:pt idx="12" formatCode="d;@">
                  <c:v>43290.0</c:v>
                </c:pt>
                <c:pt idx="13" formatCode="d;@">
                  <c:v>43291.0</c:v>
                </c:pt>
                <c:pt idx="14" formatCode="d;@">
                  <c:v>43292.0</c:v>
                </c:pt>
                <c:pt idx="15" formatCode="d;@">
                  <c:v>43293.0</c:v>
                </c:pt>
                <c:pt idx="16" formatCode="d;@">
                  <c:v>43294.0</c:v>
                </c:pt>
                <c:pt idx="17" formatCode="d;@">
                  <c:v>43295.0</c:v>
                </c:pt>
                <c:pt idx="18" formatCode="d;@">
                  <c:v>43296.0</c:v>
                </c:pt>
                <c:pt idx="21" formatCode="d;@">
                  <c:v>43297.0</c:v>
                </c:pt>
                <c:pt idx="22" formatCode="d;@">
                  <c:v>43298.0</c:v>
                </c:pt>
                <c:pt idx="23" formatCode="d;@">
                  <c:v>43299.0</c:v>
                </c:pt>
                <c:pt idx="24" formatCode="d;@">
                  <c:v>43300.0</c:v>
                </c:pt>
                <c:pt idx="25" formatCode="d;@">
                  <c:v>43301.0</c:v>
                </c:pt>
                <c:pt idx="26" formatCode="d;@">
                  <c:v>43302.0</c:v>
                </c:pt>
                <c:pt idx="27" formatCode="d;@">
                  <c:v>43303.0</c:v>
                </c:pt>
                <c:pt idx="30" formatCode="d;@">
                  <c:v>43304.0</c:v>
                </c:pt>
                <c:pt idx="31" formatCode="d;@">
                  <c:v>43305.0</c:v>
                </c:pt>
                <c:pt idx="32" formatCode="d;@">
                  <c:v>43306.0</c:v>
                </c:pt>
                <c:pt idx="33" formatCode="d;@">
                  <c:v>43307.0</c:v>
                </c:pt>
                <c:pt idx="34" formatCode="d;@">
                  <c:v>43308.0</c:v>
                </c:pt>
                <c:pt idx="35" formatCode="d;@">
                  <c:v>43309.0</c:v>
                </c:pt>
                <c:pt idx="36" formatCode="d;@">
                  <c:v>43310.0</c:v>
                </c:pt>
                <c:pt idx="39" formatCode="d;@">
                  <c:v>43311.0</c:v>
                </c:pt>
                <c:pt idx="40" formatCode="d;@">
                  <c:v>43312.0</c:v>
                </c:pt>
              </c:numCache>
            </c:numRef>
          </c:cat>
          <c:val>
            <c:numRef>
              <c:f>JUL!$R$11:$R$51</c:f>
              <c:numCache>
                <c:formatCode>#,##0.0</c:formatCode>
                <c:ptCount val="41"/>
                <c:pt idx="0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9">
                  <c:v>0.0</c:v>
                </c:pt>
                <c:pt idx="4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8F-0B40-B1BE-4A83F32A0EE7}"/>
            </c:ext>
          </c:extLst>
        </c:ser>
        <c:ser>
          <c:idx val="1"/>
          <c:order val="1"/>
          <c:invertIfNegative val="0"/>
          <c:cat>
            <c:numRef>
              <c:f>JUL!$C$11:$C$51</c:f>
              <c:numCache>
                <c:formatCode>General</c:formatCode>
                <c:ptCount val="41"/>
                <c:pt idx="0" formatCode="d;@">
                  <c:v>43282.0</c:v>
                </c:pt>
                <c:pt idx="3" formatCode="d;@">
                  <c:v>43283.0</c:v>
                </c:pt>
                <c:pt idx="4" formatCode="d;@">
                  <c:v>43284.0</c:v>
                </c:pt>
                <c:pt idx="5" formatCode="d;@">
                  <c:v>43285.0</c:v>
                </c:pt>
                <c:pt idx="6" formatCode="d;@">
                  <c:v>43286.0</c:v>
                </c:pt>
                <c:pt idx="7" formatCode="d;@">
                  <c:v>43287.0</c:v>
                </c:pt>
                <c:pt idx="8" formatCode="d;@">
                  <c:v>43288.0</c:v>
                </c:pt>
                <c:pt idx="9" formatCode="d;@">
                  <c:v>43289.0</c:v>
                </c:pt>
                <c:pt idx="12" formatCode="d;@">
                  <c:v>43290.0</c:v>
                </c:pt>
                <c:pt idx="13" formatCode="d;@">
                  <c:v>43291.0</c:v>
                </c:pt>
                <c:pt idx="14" formatCode="d;@">
                  <c:v>43292.0</c:v>
                </c:pt>
                <c:pt idx="15" formatCode="d;@">
                  <c:v>43293.0</c:v>
                </c:pt>
                <c:pt idx="16" formatCode="d;@">
                  <c:v>43294.0</c:v>
                </c:pt>
                <c:pt idx="17" formatCode="d;@">
                  <c:v>43295.0</c:v>
                </c:pt>
                <c:pt idx="18" formatCode="d;@">
                  <c:v>43296.0</c:v>
                </c:pt>
                <c:pt idx="21" formatCode="d;@">
                  <c:v>43297.0</c:v>
                </c:pt>
                <c:pt idx="22" formatCode="d;@">
                  <c:v>43298.0</c:v>
                </c:pt>
                <c:pt idx="23" formatCode="d;@">
                  <c:v>43299.0</c:v>
                </c:pt>
                <c:pt idx="24" formatCode="d;@">
                  <c:v>43300.0</c:v>
                </c:pt>
                <c:pt idx="25" formatCode="d;@">
                  <c:v>43301.0</c:v>
                </c:pt>
                <c:pt idx="26" formatCode="d;@">
                  <c:v>43302.0</c:v>
                </c:pt>
                <c:pt idx="27" formatCode="d;@">
                  <c:v>43303.0</c:v>
                </c:pt>
                <c:pt idx="30" formatCode="d;@">
                  <c:v>43304.0</c:v>
                </c:pt>
                <c:pt idx="31" formatCode="d;@">
                  <c:v>43305.0</c:v>
                </c:pt>
                <c:pt idx="32" formatCode="d;@">
                  <c:v>43306.0</c:v>
                </c:pt>
                <c:pt idx="33" formatCode="d;@">
                  <c:v>43307.0</c:v>
                </c:pt>
                <c:pt idx="34" formatCode="d;@">
                  <c:v>43308.0</c:v>
                </c:pt>
                <c:pt idx="35" formatCode="d;@">
                  <c:v>43309.0</c:v>
                </c:pt>
                <c:pt idx="36" formatCode="d;@">
                  <c:v>43310.0</c:v>
                </c:pt>
                <c:pt idx="39" formatCode="d;@">
                  <c:v>43311.0</c:v>
                </c:pt>
                <c:pt idx="40" formatCode="d;@">
                  <c:v>43312.0</c:v>
                </c:pt>
              </c:numCache>
            </c:numRef>
          </c:cat>
          <c:val>
            <c:numRef>
              <c:f>JUL!$T$11:$T$51</c:f>
              <c:numCache>
                <c:formatCode>#,##0.0</c:formatCode>
                <c:ptCount val="4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8F-0B40-B1BE-4A83F32A0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6935192"/>
        <c:axId val="1816937848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JUL!$C$11:$C$51</c:f>
              <c:numCache>
                <c:formatCode>General</c:formatCode>
                <c:ptCount val="41"/>
                <c:pt idx="0" formatCode="d;@">
                  <c:v>43282.0</c:v>
                </c:pt>
                <c:pt idx="3" formatCode="d;@">
                  <c:v>43283.0</c:v>
                </c:pt>
                <c:pt idx="4" formatCode="d;@">
                  <c:v>43284.0</c:v>
                </c:pt>
                <c:pt idx="5" formatCode="d;@">
                  <c:v>43285.0</c:v>
                </c:pt>
                <c:pt idx="6" formatCode="d;@">
                  <c:v>43286.0</c:v>
                </c:pt>
                <c:pt idx="7" formatCode="d;@">
                  <c:v>43287.0</c:v>
                </c:pt>
                <c:pt idx="8" formatCode="d;@">
                  <c:v>43288.0</c:v>
                </c:pt>
                <c:pt idx="9" formatCode="d;@">
                  <c:v>43289.0</c:v>
                </c:pt>
                <c:pt idx="12" formatCode="d;@">
                  <c:v>43290.0</c:v>
                </c:pt>
                <c:pt idx="13" formatCode="d;@">
                  <c:v>43291.0</c:v>
                </c:pt>
                <c:pt idx="14" formatCode="d;@">
                  <c:v>43292.0</c:v>
                </c:pt>
                <c:pt idx="15" formatCode="d;@">
                  <c:v>43293.0</c:v>
                </c:pt>
                <c:pt idx="16" formatCode="d;@">
                  <c:v>43294.0</c:v>
                </c:pt>
                <c:pt idx="17" formatCode="d;@">
                  <c:v>43295.0</c:v>
                </c:pt>
                <c:pt idx="18" formatCode="d;@">
                  <c:v>43296.0</c:v>
                </c:pt>
                <c:pt idx="21" formatCode="d;@">
                  <c:v>43297.0</c:v>
                </c:pt>
                <c:pt idx="22" formatCode="d;@">
                  <c:v>43298.0</c:v>
                </c:pt>
                <c:pt idx="23" formatCode="d;@">
                  <c:v>43299.0</c:v>
                </c:pt>
                <c:pt idx="24" formatCode="d;@">
                  <c:v>43300.0</c:v>
                </c:pt>
                <c:pt idx="25" formatCode="d;@">
                  <c:v>43301.0</c:v>
                </c:pt>
                <c:pt idx="26" formatCode="d;@">
                  <c:v>43302.0</c:v>
                </c:pt>
                <c:pt idx="27" formatCode="d;@">
                  <c:v>43303.0</c:v>
                </c:pt>
                <c:pt idx="30" formatCode="d;@">
                  <c:v>43304.0</c:v>
                </c:pt>
                <c:pt idx="31" formatCode="d;@">
                  <c:v>43305.0</c:v>
                </c:pt>
                <c:pt idx="32" formatCode="d;@">
                  <c:v>43306.0</c:v>
                </c:pt>
                <c:pt idx="33" formatCode="d;@">
                  <c:v>43307.0</c:v>
                </c:pt>
                <c:pt idx="34" formatCode="d;@">
                  <c:v>43308.0</c:v>
                </c:pt>
                <c:pt idx="35" formatCode="d;@">
                  <c:v>43309.0</c:v>
                </c:pt>
                <c:pt idx="36" formatCode="d;@">
                  <c:v>43310.0</c:v>
                </c:pt>
                <c:pt idx="39" formatCode="d;@">
                  <c:v>43311.0</c:v>
                </c:pt>
                <c:pt idx="40" formatCode="d;@">
                  <c:v>43312.0</c:v>
                </c:pt>
              </c:numCache>
            </c:numRef>
          </c:cat>
          <c:val>
            <c:numRef>
              <c:f>JUL!$U$11:$U$51</c:f>
              <c:numCache>
                <c:formatCode>#,##0.0</c:formatCode>
                <c:ptCount val="4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C8F-0B40-B1BE-4A83F32A0EE7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JUL!$C$11:$C$51</c:f>
              <c:numCache>
                <c:formatCode>General</c:formatCode>
                <c:ptCount val="41"/>
                <c:pt idx="0" formatCode="d;@">
                  <c:v>43282.0</c:v>
                </c:pt>
                <c:pt idx="3" formatCode="d;@">
                  <c:v>43283.0</c:v>
                </c:pt>
                <c:pt idx="4" formatCode="d;@">
                  <c:v>43284.0</c:v>
                </c:pt>
                <c:pt idx="5" formatCode="d;@">
                  <c:v>43285.0</c:v>
                </c:pt>
                <c:pt idx="6" formatCode="d;@">
                  <c:v>43286.0</c:v>
                </c:pt>
                <c:pt idx="7" formatCode="d;@">
                  <c:v>43287.0</c:v>
                </c:pt>
                <c:pt idx="8" formatCode="d;@">
                  <c:v>43288.0</c:v>
                </c:pt>
                <c:pt idx="9" formatCode="d;@">
                  <c:v>43289.0</c:v>
                </c:pt>
                <c:pt idx="12" formatCode="d;@">
                  <c:v>43290.0</c:v>
                </c:pt>
                <c:pt idx="13" formatCode="d;@">
                  <c:v>43291.0</c:v>
                </c:pt>
                <c:pt idx="14" formatCode="d;@">
                  <c:v>43292.0</c:v>
                </c:pt>
                <c:pt idx="15" formatCode="d;@">
                  <c:v>43293.0</c:v>
                </c:pt>
                <c:pt idx="16" formatCode="d;@">
                  <c:v>43294.0</c:v>
                </c:pt>
                <c:pt idx="17" formatCode="d;@">
                  <c:v>43295.0</c:v>
                </c:pt>
                <c:pt idx="18" formatCode="d;@">
                  <c:v>43296.0</c:v>
                </c:pt>
                <c:pt idx="21" formatCode="d;@">
                  <c:v>43297.0</c:v>
                </c:pt>
                <c:pt idx="22" formatCode="d;@">
                  <c:v>43298.0</c:v>
                </c:pt>
                <c:pt idx="23" formatCode="d;@">
                  <c:v>43299.0</c:v>
                </c:pt>
                <c:pt idx="24" formatCode="d;@">
                  <c:v>43300.0</c:v>
                </c:pt>
                <c:pt idx="25" formatCode="d;@">
                  <c:v>43301.0</c:v>
                </c:pt>
                <c:pt idx="26" formatCode="d;@">
                  <c:v>43302.0</c:v>
                </c:pt>
                <c:pt idx="27" formatCode="d;@">
                  <c:v>43303.0</c:v>
                </c:pt>
                <c:pt idx="30" formatCode="d;@">
                  <c:v>43304.0</c:v>
                </c:pt>
                <c:pt idx="31" formatCode="d;@">
                  <c:v>43305.0</c:v>
                </c:pt>
                <c:pt idx="32" formatCode="d;@">
                  <c:v>43306.0</c:v>
                </c:pt>
                <c:pt idx="33" formatCode="d;@">
                  <c:v>43307.0</c:v>
                </c:pt>
                <c:pt idx="34" formatCode="d;@">
                  <c:v>43308.0</c:v>
                </c:pt>
                <c:pt idx="35" formatCode="d;@">
                  <c:v>43309.0</c:v>
                </c:pt>
                <c:pt idx="36" formatCode="d;@">
                  <c:v>43310.0</c:v>
                </c:pt>
                <c:pt idx="39" formatCode="d;@">
                  <c:v>43311.0</c:v>
                </c:pt>
                <c:pt idx="40" formatCode="d;@">
                  <c:v>43312.0</c:v>
                </c:pt>
              </c:numCache>
            </c:numRef>
          </c:cat>
          <c:val>
            <c:numRef>
              <c:f>JUL!$V$11:$V$51</c:f>
              <c:numCache>
                <c:formatCode>#,##0.0</c:formatCode>
                <c:ptCount val="41"/>
                <c:pt idx="0" formatCode="#,##0.00">
                  <c:v>0.0</c:v>
                </c:pt>
                <c:pt idx="3" formatCode="#,##0.00">
                  <c:v>0.0</c:v>
                </c:pt>
                <c:pt idx="4" formatCode="#,##0.00">
                  <c:v>0.0</c:v>
                </c:pt>
                <c:pt idx="5" formatCode="#,##0.00">
                  <c:v>0.0</c:v>
                </c:pt>
                <c:pt idx="6" formatCode="#,##0.00">
                  <c:v>0.0</c:v>
                </c:pt>
                <c:pt idx="7" formatCode="#,##0.00">
                  <c:v>0.0</c:v>
                </c:pt>
                <c:pt idx="8" formatCode="#,##0.00">
                  <c:v>0.0</c:v>
                </c:pt>
                <c:pt idx="9" formatCode="#,##0.00">
                  <c:v>0.0</c:v>
                </c:pt>
                <c:pt idx="12" formatCode="#,##0.00">
                  <c:v>0.0</c:v>
                </c:pt>
                <c:pt idx="13" formatCode="#,##0.00">
                  <c:v>0.0</c:v>
                </c:pt>
                <c:pt idx="14" formatCode="#,##0.00">
                  <c:v>0.0</c:v>
                </c:pt>
                <c:pt idx="15" formatCode="#,##0.00">
                  <c:v>0.0</c:v>
                </c:pt>
                <c:pt idx="16" formatCode="#,##0.00">
                  <c:v>0.0</c:v>
                </c:pt>
                <c:pt idx="17" formatCode="#,##0.00">
                  <c:v>0.0</c:v>
                </c:pt>
                <c:pt idx="18" formatCode="#,##0.00">
                  <c:v>0.0</c:v>
                </c:pt>
                <c:pt idx="21" formatCode="#,##0.00">
                  <c:v>0.0</c:v>
                </c:pt>
                <c:pt idx="22" formatCode="#,##0.00">
                  <c:v>0.0</c:v>
                </c:pt>
                <c:pt idx="23" formatCode="#,##0.00">
                  <c:v>0.0</c:v>
                </c:pt>
                <c:pt idx="24" formatCode="#,##0.00">
                  <c:v>0.0</c:v>
                </c:pt>
                <c:pt idx="25" formatCode="#,##0.00">
                  <c:v>0.0</c:v>
                </c:pt>
                <c:pt idx="26" formatCode="#,##0.00">
                  <c:v>0.0</c:v>
                </c:pt>
                <c:pt idx="27" formatCode="#,##0.00">
                  <c:v>0.0</c:v>
                </c:pt>
                <c:pt idx="30" formatCode="#,##0.00">
                  <c:v>0.0</c:v>
                </c:pt>
                <c:pt idx="31" formatCode="#,##0.00">
                  <c:v>0.0</c:v>
                </c:pt>
                <c:pt idx="32" formatCode="#,##0.00">
                  <c:v>0.0</c:v>
                </c:pt>
                <c:pt idx="33" formatCode="#,##0.00">
                  <c:v>0.0</c:v>
                </c:pt>
                <c:pt idx="34" formatCode="#,##0.00">
                  <c:v>0.0</c:v>
                </c:pt>
                <c:pt idx="35" formatCode="#,##0.00">
                  <c:v>0.0</c:v>
                </c:pt>
                <c:pt idx="36" formatCode="#,##0.00">
                  <c:v>0.0</c:v>
                </c:pt>
                <c:pt idx="39" formatCode="#,##0.00">
                  <c:v>0.0</c:v>
                </c:pt>
                <c:pt idx="40" formatCode="#,##0.0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C8F-0B40-B1BE-4A83F32A0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1816944248"/>
        <c:axId val="1816940904"/>
      </c:barChart>
      <c:dateAx>
        <c:axId val="1816935192"/>
        <c:scaling>
          <c:orientation val="minMax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816937848"/>
        <c:crosses val="autoZero"/>
        <c:auto val="1"/>
        <c:lblOffset val="100"/>
        <c:baseTimeUnit val="days"/>
      </c:dateAx>
      <c:valAx>
        <c:axId val="1816937848"/>
        <c:scaling>
          <c:orientation val="minMax"/>
          <c:min val="0.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1816935192"/>
        <c:crosses val="autoZero"/>
        <c:crossBetween val="between"/>
      </c:valAx>
      <c:valAx>
        <c:axId val="1816940904"/>
        <c:scaling>
          <c:orientation val="minMax"/>
          <c:max val="6.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1816944248"/>
        <c:crosses val="max"/>
        <c:crossBetween val="between"/>
      </c:valAx>
      <c:dateAx>
        <c:axId val="1816944248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1816940904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"/>
          <c:y val="0.016100445578174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37398098378587"/>
          <c:y val="0.197282609058995"/>
          <c:w val="0.863599047286655"/>
          <c:h val="0.70829764944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JUL!$P$52:$V$52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JUL!$P$53:$V$53</c:f>
              <c:numCache>
                <c:formatCode>General</c:formatCode>
                <c:ptCount val="7"/>
                <c:pt idx="0">
                  <c:v>5.0</c:v>
                </c:pt>
                <c:pt idx="1">
                  <c:v>5.0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4.0</c:v>
                </c:pt>
                <c:pt idx="6" formatCode="#,##0">
                  <c:v>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64-C64D-9074-E04752C7D3F3}"/>
            </c:ext>
          </c:extLst>
        </c:ser>
        <c:ser>
          <c:idx val="1"/>
          <c:order val="1"/>
          <c:tx>
            <c:strRef>
              <c:f>JUL!$O$54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JUL!$P$52:$V$52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JUL!$P$54:$V$54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 formatCode="#,##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64-C64D-9074-E04752C7D3F3}"/>
            </c:ext>
          </c:extLst>
        </c:ser>
        <c:ser>
          <c:idx val="2"/>
          <c:order val="2"/>
          <c:tx>
            <c:strRef>
              <c:f>JUL!$O$55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JUL!$P$52:$V$52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JUL!$P$55:$V$55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 formatCode="#,##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64-C64D-9074-E04752C7D3F3}"/>
            </c:ext>
          </c:extLst>
        </c:ser>
        <c:ser>
          <c:idx val="4"/>
          <c:order val="3"/>
          <c:tx>
            <c:strRef>
              <c:f>JUL!$O$56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JUL!$P$52:$V$52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JUL!$P$56:$V$56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64-C64D-9074-E04752C7D3F3}"/>
            </c:ext>
          </c:extLst>
        </c:ser>
        <c:ser>
          <c:idx val="6"/>
          <c:order val="4"/>
          <c:tx>
            <c:strRef>
              <c:f>JUL!$O$59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JUL!$P$52:$V$52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JUL!$P$59:$V$59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264-C64D-9074-E04752C7D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31403272"/>
        <c:axId val="-2031413144"/>
      </c:barChart>
      <c:catAx>
        <c:axId val="-2031403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-2031413144"/>
        <c:crosses val="autoZero"/>
        <c:auto val="0"/>
        <c:lblAlgn val="ctr"/>
        <c:lblOffset val="100"/>
        <c:noMultiLvlLbl val="0"/>
      </c:catAx>
      <c:valAx>
        <c:axId val="-2031413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-2031403272"/>
        <c:crosses val="autoZero"/>
        <c:crossBetween val="between"/>
        <c:majorUnit val="1.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"/>
          <c:w val="0.852257405751388"/>
          <c:h val="0.0871063201234685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 monthly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  date</a:t>
            </a:r>
          </a:p>
        </c:rich>
      </c:tx>
      <c:layout>
        <c:manualLayout>
          <c:xMode val="edge"/>
          <c:yMode val="edge"/>
          <c:x val="0.120562605111022"/>
          <c:y val="0.32664719974798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21368285369"/>
          <c:y val="0.0609140285212296"/>
          <c:w val="0.890845181904938"/>
          <c:h val="0.864771029434899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AUG!$C$6:$C$45</c:f>
              <c:numCache>
                <c:formatCode>d;@</c:formatCode>
                <c:ptCount val="40"/>
                <c:pt idx="0">
                  <c:v>43312.0</c:v>
                </c:pt>
                <c:pt idx="1">
                  <c:v>43313.0</c:v>
                </c:pt>
                <c:pt idx="2">
                  <c:v>43314.0</c:v>
                </c:pt>
                <c:pt idx="3">
                  <c:v>43315.0</c:v>
                </c:pt>
                <c:pt idx="4">
                  <c:v>43316.0</c:v>
                </c:pt>
                <c:pt idx="5">
                  <c:v>43317.0</c:v>
                </c:pt>
                <c:pt idx="8">
                  <c:v>43318.0</c:v>
                </c:pt>
                <c:pt idx="9">
                  <c:v>43319.0</c:v>
                </c:pt>
                <c:pt idx="10">
                  <c:v>43320.0</c:v>
                </c:pt>
                <c:pt idx="11">
                  <c:v>43321.0</c:v>
                </c:pt>
                <c:pt idx="12">
                  <c:v>43322.0</c:v>
                </c:pt>
                <c:pt idx="13">
                  <c:v>43323.0</c:v>
                </c:pt>
                <c:pt idx="14">
                  <c:v>43324.0</c:v>
                </c:pt>
                <c:pt idx="17">
                  <c:v>43325.0</c:v>
                </c:pt>
                <c:pt idx="18">
                  <c:v>43326.0</c:v>
                </c:pt>
                <c:pt idx="19">
                  <c:v>43327.0</c:v>
                </c:pt>
                <c:pt idx="20">
                  <c:v>43328.0</c:v>
                </c:pt>
                <c:pt idx="21">
                  <c:v>43329.0</c:v>
                </c:pt>
                <c:pt idx="22">
                  <c:v>43330.0</c:v>
                </c:pt>
                <c:pt idx="23">
                  <c:v>43331.0</c:v>
                </c:pt>
                <c:pt idx="26">
                  <c:v>43332.0</c:v>
                </c:pt>
                <c:pt idx="27">
                  <c:v>43333.0</c:v>
                </c:pt>
                <c:pt idx="28">
                  <c:v>43334.0</c:v>
                </c:pt>
                <c:pt idx="29">
                  <c:v>43335.0</c:v>
                </c:pt>
                <c:pt idx="30">
                  <c:v>43336.0</c:v>
                </c:pt>
                <c:pt idx="31">
                  <c:v>43337.0</c:v>
                </c:pt>
                <c:pt idx="32">
                  <c:v>43338.0</c:v>
                </c:pt>
                <c:pt idx="35">
                  <c:v>43339.0</c:v>
                </c:pt>
                <c:pt idx="36">
                  <c:v>43340.0</c:v>
                </c:pt>
                <c:pt idx="37">
                  <c:v>43341.0</c:v>
                </c:pt>
                <c:pt idx="38">
                  <c:v>43342.0</c:v>
                </c:pt>
                <c:pt idx="39">
                  <c:v>43343.0</c:v>
                </c:pt>
              </c:numCache>
            </c:numRef>
          </c:cat>
          <c:val>
            <c:numRef>
              <c:f>AUG!$Q$6:$Q$45</c:f>
              <c:numCache>
                <c:formatCode>#,##0.0</c:formatCode>
                <c:ptCount val="40"/>
                <c:pt idx="0" formatCode="#,##0">
                  <c:v>73.9536877443209</c:v>
                </c:pt>
                <c:pt idx="1">
                  <c:v>73.9536877443209</c:v>
                </c:pt>
                <c:pt idx="2">
                  <c:v>73.9536877443209</c:v>
                </c:pt>
                <c:pt idx="3">
                  <c:v>73.9536877443209</c:v>
                </c:pt>
                <c:pt idx="4">
                  <c:v>73.9536877443209</c:v>
                </c:pt>
                <c:pt idx="5">
                  <c:v>73.9536877443209</c:v>
                </c:pt>
                <c:pt idx="6">
                  <c:v>0.0</c:v>
                </c:pt>
                <c:pt idx="7">
                  <c:v>0.0</c:v>
                </c:pt>
                <c:pt idx="8">
                  <c:v>73.9536877443209</c:v>
                </c:pt>
                <c:pt idx="9">
                  <c:v>73.9536877443209</c:v>
                </c:pt>
                <c:pt idx="10">
                  <c:v>73.9536877443209</c:v>
                </c:pt>
                <c:pt idx="11">
                  <c:v>73.9536877443209</c:v>
                </c:pt>
                <c:pt idx="12">
                  <c:v>73.9536877443209</c:v>
                </c:pt>
                <c:pt idx="13">
                  <c:v>73.9536877443209</c:v>
                </c:pt>
                <c:pt idx="14">
                  <c:v>73.9536877443209</c:v>
                </c:pt>
                <c:pt idx="15">
                  <c:v>0.0</c:v>
                </c:pt>
                <c:pt idx="16">
                  <c:v>0.0</c:v>
                </c:pt>
                <c:pt idx="17">
                  <c:v>73.9536877443209</c:v>
                </c:pt>
                <c:pt idx="18">
                  <c:v>73.9536877443209</c:v>
                </c:pt>
                <c:pt idx="19">
                  <c:v>73.9536877443209</c:v>
                </c:pt>
                <c:pt idx="20">
                  <c:v>73.9536877443209</c:v>
                </c:pt>
                <c:pt idx="21">
                  <c:v>73.9536877443209</c:v>
                </c:pt>
                <c:pt idx="22">
                  <c:v>73.9536877443209</c:v>
                </c:pt>
                <c:pt idx="23">
                  <c:v>73.9536877443209</c:v>
                </c:pt>
                <c:pt idx="24">
                  <c:v>0.0</c:v>
                </c:pt>
                <c:pt idx="25">
                  <c:v>0.0</c:v>
                </c:pt>
                <c:pt idx="26">
                  <c:v>73.9536877443209</c:v>
                </c:pt>
                <c:pt idx="27">
                  <c:v>73.9536877443209</c:v>
                </c:pt>
                <c:pt idx="28">
                  <c:v>73.9536877443209</c:v>
                </c:pt>
                <c:pt idx="29">
                  <c:v>73.9536877443209</c:v>
                </c:pt>
                <c:pt idx="30">
                  <c:v>73.9536877443209</c:v>
                </c:pt>
                <c:pt idx="31">
                  <c:v>73.9536877443209</c:v>
                </c:pt>
                <c:pt idx="32">
                  <c:v>73.9536877443209</c:v>
                </c:pt>
                <c:pt idx="33">
                  <c:v>0.0</c:v>
                </c:pt>
                <c:pt idx="34">
                  <c:v>0.0</c:v>
                </c:pt>
                <c:pt idx="35">
                  <c:v>73.9536877443209</c:v>
                </c:pt>
                <c:pt idx="36">
                  <c:v>73.9536877443209</c:v>
                </c:pt>
                <c:pt idx="37">
                  <c:v>73.9536877443209</c:v>
                </c:pt>
                <c:pt idx="38">
                  <c:v>73.9536877443209</c:v>
                </c:pt>
                <c:pt idx="39">
                  <c:v>73.9536877443209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3D-4849-95BF-B83A88BFF8CA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AUG!$C$6:$C$45</c:f>
              <c:numCache>
                <c:formatCode>d;@</c:formatCode>
                <c:ptCount val="40"/>
                <c:pt idx="0">
                  <c:v>43312.0</c:v>
                </c:pt>
                <c:pt idx="1">
                  <c:v>43313.0</c:v>
                </c:pt>
                <c:pt idx="2">
                  <c:v>43314.0</c:v>
                </c:pt>
                <c:pt idx="3">
                  <c:v>43315.0</c:v>
                </c:pt>
                <c:pt idx="4">
                  <c:v>43316.0</c:v>
                </c:pt>
                <c:pt idx="5">
                  <c:v>43317.0</c:v>
                </c:pt>
                <c:pt idx="8">
                  <c:v>43318.0</c:v>
                </c:pt>
                <c:pt idx="9">
                  <c:v>43319.0</c:v>
                </c:pt>
                <c:pt idx="10">
                  <c:v>43320.0</c:v>
                </c:pt>
                <c:pt idx="11">
                  <c:v>43321.0</c:v>
                </c:pt>
                <c:pt idx="12">
                  <c:v>43322.0</c:v>
                </c:pt>
                <c:pt idx="13">
                  <c:v>43323.0</c:v>
                </c:pt>
                <c:pt idx="14">
                  <c:v>43324.0</c:v>
                </c:pt>
                <c:pt idx="17">
                  <c:v>43325.0</c:v>
                </c:pt>
                <c:pt idx="18">
                  <c:v>43326.0</c:v>
                </c:pt>
                <c:pt idx="19">
                  <c:v>43327.0</c:v>
                </c:pt>
                <c:pt idx="20">
                  <c:v>43328.0</c:v>
                </c:pt>
                <c:pt idx="21">
                  <c:v>43329.0</c:v>
                </c:pt>
                <c:pt idx="22">
                  <c:v>43330.0</c:v>
                </c:pt>
                <c:pt idx="23">
                  <c:v>43331.0</c:v>
                </c:pt>
                <c:pt idx="26">
                  <c:v>43332.0</c:v>
                </c:pt>
                <c:pt idx="27">
                  <c:v>43333.0</c:v>
                </c:pt>
                <c:pt idx="28">
                  <c:v>43334.0</c:v>
                </c:pt>
                <c:pt idx="29">
                  <c:v>43335.0</c:v>
                </c:pt>
                <c:pt idx="30">
                  <c:v>43336.0</c:v>
                </c:pt>
                <c:pt idx="31">
                  <c:v>43337.0</c:v>
                </c:pt>
                <c:pt idx="32">
                  <c:v>43338.0</c:v>
                </c:pt>
                <c:pt idx="35">
                  <c:v>43339.0</c:v>
                </c:pt>
                <c:pt idx="36">
                  <c:v>43340.0</c:v>
                </c:pt>
                <c:pt idx="37">
                  <c:v>43341.0</c:v>
                </c:pt>
                <c:pt idx="38">
                  <c:v>43342.0</c:v>
                </c:pt>
                <c:pt idx="39">
                  <c:v>43343.0</c:v>
                </c:pt>
              </c:numCache>
            </c:numRef>
          </c:cat>
          <c:val>
            <c:numRef>
              <c:f>AUG!$AB$6:$AB$45</c:f>
              <c:numCache>
                <c:formatCode>#,##0.0</c:formatCode>
                <c:ptCount val="4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3D-4849-95BF-B83A88BFF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2003528"/>
        <c:axId val="-2032023208"/>
      </c:lineChart>
      <c:dateAx>
        <c:axId val="-2032003528"/>
        <c:scaling>
          <c:orientation val="minMax"/>
          <c:max val="43343.0"/>
          <c:min val="43312.0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-2032023208"/>
        <c:crosses val="autoZero"/>
        <c:auto val="1"/>
        <c:lblOffset val="100"/>
        <c:baseTimeUnit val="days"/>
      </c:dateAx>
      <c:valAx>
        <c:axId val="-2032023208"/>
        <c:scaling>
          <c:orientation val="minMax"/>
          <c:min val="0.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-2032003528"/>
        <c:crossesAt val="43312.0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1505191362717"/>
          <c:y val="0.251853859212731"/>
          <c:w val="0.865392940718945"/>
          <c:h val="0.6448622676745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AUG!$C$7:$C$45</c:f>
              <c:numCache>
                <c:formatCode>d;@</c:formatCode>
                <c:ptCount val="39"/>
                <c:pt idx="0">
                  <c:v>43313.0</c:v>
                </c:pt>
                <c:pt idx="1">
                  <c:v>43314.0</c:v>
                </c:pt>
                <c:pt idx="2">
                  <c:v>43315.0</c:v>
                </c:pt>
                <c:pt idx="3">
                  <c:v>43316.0</c:v>
                </c:pt>
                <c:pt idx="4">
                  <c:v>43317.0</c:v>
                </c:pt>
                <c:pt idx="7">
                  <c:v>43318.0</c:v>
                </c:pt>
                <c:pt idx="8">
                  <c:v>43319.0</c:v>
                </c:pt>
                <c:pt idx="9">
                  <c:v>43320.0</c:v>
                </c:pt>
                <c:pt idx="10">
                  <c:v>43321.0</c:v>
                </c:pt>
                <c:pt idx="11">
                  <c:v>43322.0</c:v>
                </c:pt>
                <c:pt idx="12">
                  <c:v>43323.0</c:v>
                </c:pt>
                <c:pt idx="13">
                  <c:v>43324.0</c:v>
                </c:pt>
                <c:pt idx="16">
                  <c:v>43325.0</c:v>
                </c:pt>
                <c:pt idx="17">
                  <c:v>43326.0</c:v>
                </c:pt>
                <c:pt idx="18">
                  <c:v>43327.0</c:v>
                </c:pt>
                <c:pt idx="19">
                  <c:v>43328.0</c:v>
                </c:pt>
                <c:pt idx="20">
                  <c:v>43329.0</c:v>
                </c:pt>
                <c:pt idx="21">
                  <c:v>43330.0</c:v>
                </c:pt>
                <c:pt idx="22">
                  <c:v>43331.0</c:v>
                </c:pt>
                <c:pt idx="25">
                  <c:v>43332.0</c:v>
                </c:pt>
                <c:pt idx="26">
                  <c:v>43333.0</c:v>
                </c:pt>
                <c:pt idx="27">
                  <c:v>43334.0</c:v>
                </c:pt>
                <c:pt idx="28">
                  <c:v>43335.0</c:v>
                </c:pt>
                <c:pt idx="29">
                  <c:v>43336.0</c:v>
                </c:pt>
                <c:pt idx="30">
                  <c:v>43337.0</c:v>
                </c:pt>
                <c:pt idx="31">
                  <c:v>43338.0</c:v>
                </c:pt>
                <c:pt idx="34">
                  <c:v>43339.0</c:v>
                </c:pt>
                <c:pt idx="35">
                  <c:v>43340.0</c:v>
                </c:pt>
                <c:pt idx="36">
                  <c:v>43341.0</c:v>
                </c:pt>
                <c:pt idx="37">
                  <c:v>43342.0</c:v>
                </c:pt>
                <c:pt idx="38">
                  <c:v>43343.0</c:v>
                </c:pt>
              </c:numCache>
            </c:numRef>
          </c:cat>
          <c:val>
            <c:numRef>
              <c:f>AUG!$R$7:$R$45</c:f>
              <c:numCache>
                <c:formatCode>#,##0.0</c:formatCode>
                <c:ptCount val="3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FD-254A-BAF6-09143C5F913F}"/>
            </c:ext>
          </c:extLst>
        </c:ser>
        <c:ser>
          <c:idx val="1"/>
          <c:order val="1"/>
          <c:invertIfNegative val="0"/>
          <c:cat>
            <c:numRef>
              <c:f>AUG!$C$7:$C$45</c:f>
              <c:numCache>
                <c:formatCode>d;@</c:formatCode>
                <c:ptCount val="39"/>
                <c:pt idx="0">
                  <c:v>43313.0</c:v>
                </c:pt>
                <c:pt idx="1">
                  <c:v>43314.0</c:v>
                </c:pt>
                <c:pt idx="2">
                  <c:v>43315.0</c:v>
                </c:pt>
                <c:pt idx="3">
                  <c:v>43316.0</c:v>
                </c:pt>
                <c:pt idx="4">
                  <c:v>43317.0</c:v>
                </c:pt>
                <c:pt idx="7">
                  <c:v>43318.0</c:v>
                </c:pt>
                <c:pt idx="8">
                  <c:v>43319.0</c:v>
                </c:pt>
                <c:pt idx="9">
                  <c:v>43320.0</c:v>
                </c:pt>
                <c:pt idx="10">
                  <c:v>43321.0</c:v>
                </c:pt>
                <c:pt idx="11">
                  <c:v>43322.0</c:v>
                </c:pt>
                <c:pt idx="12">
                  <c:v>43323.0</c:v>
                </c:pt>
                <c:pt idx="13">
                  <c:v>43324.0</c:v>
                </c:pt>
                <c:pt idx="16">
                  <c:v>43325.0</c:v>
                </c:pt>
                <c:pt idx="17">
                  <c:v>43326.0</c:v>
                </c:pt>
                <c:pt idx="18">
                  <c:v>43327.0</c:v>
                </c:pt>
                <c:pt idx="19">
                  <c:v>43328.0</c:v>
                </c:pt>
                <c:pt idx="20">
                  <c:v>43329.0</c:v>
                </c:pt>
                <c:pt idx="21">
                  <c:v>43330.0</c:v>
                </c:pt>
                <c:pt idx="22">
                  <c:v>43331.0</c:v>
                </c:pt>
                <c:pt idx="25">
                  <c:v>43332.0</c:v>
                </c:pt>
                <c:pt idx="26">
                  <c:v>43333.0</c:v>
                </c:pt>
                <c:pt idx="27">
                  <c:v>43334.0</c:v>
                </c:pt>
                <c:pt idx="28">
                  <c:v>43335.0</c:v>
                </c:pt>
                <c:pt idx="29">
                  <c:v>43336.0</c:v>
                </c:pt>
                <c:pt idx="30">
                  <c:v>43337.0</c:v>
                </c:pt>
                <c:pt idx="31">
                  <c:v>43338.0</c:v>
                </c:pt>
                <c:pt idx="34">
                  <c:v>43339.0</c:v>
                </c:pt>
                <c:pt idx="35">
                  <c:v>43340.0</c:v>
                </c:pt>
                <c:pt idx="36">
                  <c:v>43341.0</c:v>
                </c:pt>
                <c:pt idx="37">
                  <c:v>43342.0</c:v>
                </c:pt>
                <c:pt idx="38">
                  <c:v>43343.0</c:v>
                </c:pt>
              </c:numCache>
            </c:numRef>
          </c:cat>
          <c:val>
            <c:numRef>
              <c:f>AUG!$T$7:$T$45</c:f>
              <c:numCache>
                <c:formatCode>#,##0.0</c:formatCode>
                <c:ptCount val="3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FD-254A-BAF6-09143C5F9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8221240"/>
        <c:axId val="-2048585272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AUG!$C$7:$C$45</c:f>
              <c:numCache>
                <c:formatCode>d;@</c:formatCode>
                <c:ptCount val="39"/>
                <c:pt idx="0">
                  <c:v>43313.0</c:v>
                </c:pt>
                <c:pt idx="1">
                  <c:v>43314.0</c:v>
                </c:pt>
                <c:pt idx="2">
                  <c:v>43315.0</c:v>
                </c:pt>
                <c:pt idx="3">
                  <c:v>43316.0</c:v>
                </c:pt>
                <c:pt idx="4">
                  <c:v>43317.0</c:v>
                </c:pt>
                <c:pt idx="7">
                  <c:v>43318.0</c:v>
                </c:pt>
                <c:pt idx="8">
                  <c:v>43319.0</c:v>
                </c:pt>
                <c:pt idx="9">
                  <c:v>43320.0</c:v>
                </c:pt>
                <c:pt idx="10">
                  <c:v>43321.0</c:v>
                </c:pt>
                <c:pt idx="11">
                  <c:v>43322.0</c:v>
                </c:pt>
                <c:pt idx="12">
                  <c:v>43323.0</c:v>
                </c:pt>
                <c:pt idx="13">
                  <c:v>43324.0</c:v>
                </c:pt>
                <c:pt idx="16">
                  <c:v>43325.0</c:v>
                </c:pt>
                <c:pt idx="17">
                  <c:v>43326.0</c:v>
                </c:pt>
                <c:pt idx="18">
                  <c:v>43327.0</c:v>
                </c:pt>
                <c:pt idx="19">
                  <c:v>43328.0</c:v>
                </c:pt>
                <c:pt idx="20">
                  <c:v>43329.0</c:v>
                </c:pt>
                <c:pt idx="21">
                  <c:v>43330.0</c:v>
                </c:pt>
                <c:pt idx="22">
                  <c:v>43331.0</c:v>
                </c:pt>
                <c:pt idx="25">
                  <c:v>43332.0</c:v>
                </c:pt>
                <c:pt idx="26">
                  <c:v>43333.0</c:v>
                </c:pt>
                <c:pt idx="27">
                  <c:v>43334.0</c:v>
                </c:pt>
                <c:pt idx="28">
                  <c:v>43335.0</c:v>
                </c:pt>
                <c:pt idx="29">
                  <c:v>43336.0</c:v>
                </c:pt>
                <c:pt idx="30">
                  <c:v>43337.0</c:v>
                </c:pt>
                <c:pt idx="31">
                  <c:v>43338.0</c:v>
                </c:pt>
                <c:pt idx="34">
                  <c:v>43339.0</c:v>
                </c:pt>
                <c:pt idx="35">
                  <c:v>43340.0</c:v>
                </c:pt>
                <c:pt idx="36">
                  <c:v>43341.0</c:v>
                </c:pt>
                <c:pt idx="37">
                  <c:v>43342.0</c:v>
                </c:pt>
                <c:pt idx="38">
                  <c:v>43343.0</c:v>
                </c:pt>
              </c:numCache>
            </c:numRef>
          </c:cat>
          <c:val>
            <c:numRef>
              <c:f>AUG!$U$7:$U$45</c:f>
              <c:numCache>
                <c:formatCode>#,##0.0</c:formatCode>
                <c:ptCount val="3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FD-254A-BAF6-09143C5F913F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AUG!$C$7:$C$45</c:f>
              <c:numCache>
                <c:formatCode>d;@</c:formatCode>
                <c:ptCount val="39"/>
                <c:pt idx="0">
                  <c:v>43313.0</c:v>
                </c:pt>
                <c:pt idx="1">
                  <c:v>43314.0</c:v>
                </c:pt>
                <c:pt idx="2">
                  <c:v>43315.0</c:v>
                </c:pt>
                <c:pt idx="3">
                  <c:v>43316.0</c:v>
                </c:pt>
                <c:pt idx="4">
                  <c:v>43317.0</c:v>
                </c:pt>
                <c:pt idx="7">
                  <c:v>43318.0</c:v>
                </c:pt>
                <c:pt idx="8">
                  <c:v>43319.0</c:v>
                </c:pt>
                <c:pt idx="9">
                  <c:v>43320.0</c:v>
                </c:pt>
                <c:pt idx="10">
                  <c:v>43321.0</c:v>
                </c:pt>
                <c:pt idx="11">
                  <c:v>43322.0</c:v>
                </c:pt>
                <c:pt idx="12">
                  <c:v>43323.0</c:v>
                </c:pt>
                <c:pt idx="13">
                  <c:v>43324.0</c:v>
                </c:pt>
                <c:pt idx="16">
                  <c:v>43325.0</c:v>
                </c:pt>
                <c:pt idx="17">
                  <c:v>43326.0</c:v>
                </c:pt>
                <c:pt idx="18">
                  <c:v>43327.0</c:v>
                </c:pt>
                <c:pt idx="19">
                  <c:v>43328.0</c:v>
                </c:pt>
                <c:pt idx="20">
                  <c:v>43329.0</c:v>
                </c:pt>
                <c:pt idx="21">
                  <c:v>43330.0</c:v>
                </c:pt>
                <c:pt idx="22">
                  <c:v>43331.0</c:v>
                </c:pt>
                <c:pt idx="25">
                  <c:v>43332.0</c:v>
                </c:pt>
                <c:pt idx="26">
                  <c:v>43333.0</c:v>
                </c:pt>
                <c:pt idx="27">
                  <c:v>43334.0</c:v>
                </c:pt>
                <c:pt idx="28">
                  <c:v>43335.0</c:v>
                </c:pt>
                <c:pt idx="29">
                  <c:v>43336.0</c:v>
                </c:pt>
                <c:pt idx="30">
                  <c:v>43337.0</c:v>
                </c:pt>
                <c:pt idx="31">
                  <c:v>43338.0</c:v>
                </c:pt>
                <c:pt idx="34">
                  <c:v>43339.0</c:v>
                </c:pt>
                <c:pt idx="35">
                  <c:v>43340.0</c:v>
                </c:pt>
                <c:pt idx="36">
                  <c:v>43341.0</c:v>
                </c:pt>
                <c:pt idx="37">
                  <c:v>43342.0</c:v>
                </c:pt>
                <c:pt idx="38">
                  <c:v>43343.0</c:v>
                </c:pt>
              </c:numCache>
            </c:numRef>
          </c:cat>
          <c:val>
            <c:numRef>
              <c:f>AUG!$V$7:$V$45</c:f>
              <c:numCache>
                <c:formatCode>#,##0.00</c:formatCode>
                <c:ptCount val="3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FD-254A-BAF6-09143C5F9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1812636488"/>
        <c:axId val="1838301656"/>
      </c:barChart>
      <c:dateAx>
        <c:axId val="-2048221240"/>
        <c:scaling>
          <c:orientation val="minMax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-2048585272"/>
        <c:crosses val="autoZero"/>
        <c:auto val="1"/>
        <c:lblOffset val="100"/>
        <c:baseTimeUnit val="days"/>
      </c:dateAx>
      <c:valAx>
        <c:axId val="-2048585272"/>
        <c:scaling>
          <c:orientation val="minMax"/>
          <c:min val="0.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-2048221240"/>
        <c:crosses val="autoZero"/>
        <c:crossBetween val="between"/>
      </c:valAx>
      <c:valAx>
        <c:axId val="1838301656"/>
        <c:scaling>
          <c:orientation val="minMax"/>
          <c:max val="6.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1812636488"/>
        <c:crosses val="max"/>
        <c:crossBetween val="between"/>
      </c:valAx>
      <c:dateAx>
        <c:axId val="1812636488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183830165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"/>
          <c:y val="0.016100445578174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37398098378587"/>
          <c:y val="0.197282609058995"/>
          <c:w val="0.863599047286655"/>
          <c:h val="0.70829764944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AUG!$O$53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AUG!$P$52:$V$52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AUG!$P$53:$V$53</c:f>
              <c:numCache>
                <c:formatCode>General</c:formatCode>
                <c:ptCount val="7"/>
                <c:pt idx="0">
                  <c:v>4.0</c:v>
                </c:pt>
                <c:pt idx="1">
                  <c:v>4.0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4.0</c:v>
                </c:pt>
                <c:pt idx="6">
                  <c:v>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DD-B742-B4FA-725E086A8FDA}"/>
            </c:ext>
          </c:extLst>
        </c:ser>
        <c:ser>
          <c:idx val="1"/>
          <c:order val="1"/>
          <c:tx>
            <c:strRef>
              <c:f>AUG!$O$54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AUG!$P$52:$V$52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AUG!$P$54:$V$54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DD-B742-B4FA-725E086A8FDA}"/>
            </c:ext>
          </c:extLst>
        </c:ser>
        <c:ser>
          <c:idx val="2"/>
          <c:order val="2"/>
          <c:tx>
            <c:strRef>
              <c:f>AUG!$O$55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AUG!$P$52:$V$52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AUG!$P$55:$V$55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DD-B742-B4FA-725E086A8FDA}"/>
            </c:ext>
          </c:extLst>
        </c:ser>
        <c:ser>
          <c:idx val="4"/>
          <c:order val="3"/>
          <c:tx>
            <c:strRef>
              <c:f>AUG!$O$56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AUG!$P$52:$V$52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AUG!$P$56:$V$56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FDD-B742-B4FA-725E086A8FDA}"/>
            </c:ext>
          </c:extLst>
        </c:ser>
        <c:ser>
          <c:idx val="6"/>
          <c:order val="4"/>
          <c:tx>
            <c:strRef>
              <c:f>AUG!$O$59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AUG!$P$52:$V$52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AUG!$P$59:$V$59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FDD-B742-B4FA-725E086A8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921912"/>
        <c:axId val="1812707928"/>
      </c:barChart>
      <c:catAx>
        <c:axId val="1812921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812707928"/>
        <c:crosses val="autoZero"/>
        <c:auto val="0"/>
        <c:lblAlgn val="ctr"/>
        <c:lblOffset val="100"/>
        <c:noMultiLvlLbl val="0"/>
      </c:catAx>
      <c:valAx>
        <c:axId val="1812707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812921912"/>
        <c:crosses val="autoZero"/>
        <c:crossBetween val="between"/>
        <c:majorUnit val="1.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"/>
          <c:w val="0.852257405751388"/>
          <c:h val="0.0871063201234685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 monthly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  date</a:t>
            </a:r>
          </a:p>
        </c:rich>
      </c:tx>
      <c:layout>
        <c:manualLayout>
          <c:xMode val="edge"/>
          <c:yMode val="edge"/>
          <c:x val="0.120562605111022"/>
          <c:y val="0.32664719974798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982871397215672"/>
          <c:y val="0.0609140180360491"/>
          <c:w val="0.890845181904938"/>
          <c:h val="0.864771029434899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SEP!$C$9:$C$47</c:f>
              <c:numCache>
                <c:formatCode>d;@</c:formatCode>
                <c:ptCount val="39"/>
                <c:pt idx="0">
                  <c:v>43343.0</c:v>
                </c:pt>
                <c:pt idx="1">
                  <c:v>43344.0</c:v>
                </c:pt>
                <c:pt idx="2">
                  <c:v>43345.0</c:v>
                </c:pt>
                <c:pt idx="5">
                  <c:v>43346.0</c:v>
                </c:pt>
                <c:pt idx="6">
                  <c:v>43347.0</c:v>
                </c:pt>
                <c:pt idx="7">
                  <c:v>43348.0</c:v>
                </c:pt>
                <c:pt idx="8">
                  <c:v>43349.0</c:v>
                </c:pt>
                <c:pt idx="9">
                  <c:v>43350.0</c:v>
                </c:pt>
                <c:pt idx="10">
                  <c:v>43351.0</c:v>
                </c:pt>
                <c:pt idx="11">
                  <c:v>43352.0</c:v>
                </c:pt>
                <c:pt idx="14">
                  <c:v>43353.0</c:v>
                </c:pt>
                <c:pt idx="15">
                  <c:v>43354.0</c:v>
                </c:pt>
                <c:pt idx="16">
                  <c:v>43355.0</c:v>
                </c:pt>
                <c:pt idx="17">
                  <c:v>43356.0</c:v>
                </c:pt>
                <c:pt idx="18">
                  <c:v>43357.0</c:v>
                </c:pt>
                <c:pt idx="19">
                  <c:v>43358.0</c:v>
                </c:pt>
                <c:pt idx="20">
                  <c:v>43359.0</c:v>
                </c:pt>
                <c:pt idx="23">
                  <c:v>43360.0</c:v>
                </c:pt>
                <c:pt idx="24">
                  <c:v>43361.0</c:v>
                </c:pt>
                <c:pt idx="25">
                  <c:v>43362.0</c:v>
                </c:pt>
                <c:pt idx="26">
                  <c:v>43363.0</c:v>
                </c:pt>
                <c:pt idx="27">
                  <c:v>43364.0</c:v>
                </c:pt>
                <c:pt idx="28">
                  <c:v>43365.0</c:v>
                </c:pt>
                <c:pt idx="29">
                  <c:v>43366.0</c:v>
                </c:pt>
                <c:pt idx="32">
                  <c:v>43367.0</c:v>
                </c:pt>
                <c:pt idx="33">
                  <c:v>43368.0</c:v>
                </c:pt>
                <c:pt idx="34">
                  <c:v>43369.0</c:v>
                </c:pt>
                <c:pt idx="35">
                  <c:v>43370.0</c:v>
                </c:pt>
                <c:pt idx="36">
                  <c:v>43371.0</c:v>
                </c:pt>
                <c:pt idx="37">
                  <c:v>43372.0</c:v>
                </c:pt>
                <c:pt idx="38">
                  <c:v>43373.0</c:v>
                </c:pt>
              </c:numCache>
            </c:numRef>
          </c:cat>
          <c:val>
            <c:numRef>
              <c:f>SEP!$Q$9:$Q$47</c:f>
              <c:numCache>
                <c:formatCode>#,##0.0</c:formatCode>
                <c:ptCount val="39"/>
                <c:pt idx="0">
                  <c:v>89.75388821361602</c:v>
                </c:pt>
                <c:pt idx="1">
                  <c:v>89.75388821361602</c:v>
                </c:pt>
                <c:pt idx="2">
                  <c:v>89.75388821361602</c:v>
                </c:pt>
                <c:pt idx="3">
                  <c:v>0.0</c:v>
                </c:pt>
                <c:pt idx="4">
                  <c:v>0.0</c:v>
                </c:pt>
                <c:pt idx="5">
                  <c:v>89.75388821361602</c:v>
                </c:pt>
                <c:pt idx="6">
                  <c:v>89.75388821361602</c:v>
                </c:pt>
                <c:pt idx="7">
                  <c:v>89.75388821361602</c:v>
                </c:pt>
                <c:pt idx="8">
                  <c:v>89.75388821361602</c:v>
                </c:pt>
                <c:pt idx="9">
                  <c:v>89.75388821361602</c:v>
                </c:pt>
                <c:pt idx="10">
                  <c:v>89.75388821361602</c:v>
                </c:pt>
                <c:pt idx="11">
                  <c:v>89.75388821361602</c:v>
                </c:pt>
                <c:pt idx="12">
                  <c:v>0.0</c:v>
                </c:pt>
                <c:pt idx="13">
                  <c:v>0.0</c:v>
                </c:pt>
                <c:pt idx="14">
                  <c:v>89.75388821361602</c:v>
                </c:pt>
                <c:pt idx="15">
                  <c:v>89.75388821361602</c:v>
                </c:pt>
                <c:pt idx="16">
                  <c:v>89.75388821361602</c:v>
                </c:pt>
                <c:pt idx="17">
                  <c:v>89.75388821361602</c:v>
                </c:pt>
                <c:pt idx="18">
                  <c:v>89.75388821361602</c:v>
                </c:pt>
                <c:pt idx="19">
                  <c:v>89.75388821361602</c:v>
                </c:pt>
                <c:pt idx="20">
                  <c:v>89.75388821361602</c:v>
                </c:pt>
                <c:pt idx="21">
                  <c:v>0.0</c:v>
                </c:pt>
                <c:pt idx="22">
                  <c:v>0.0</c:v>
                </c:pt>
                <c:pt idx="23">
                  <c:v>89.75388821361602</c:v>
                </c:pt>
                <c:pt idx="24">
                  <c:v>89.75388821361602</c:v>
                </c:pt>
                <c:pt idx="25">
                  <c:v>89.75388821361602</c:v>
                </c:pt>
                <c:pt idx="26">
                  <c:v>89.75388821361602</c:v>
                </c:pt>
                <c:pt idx="27">
                  <c:v>89.75388821361602</c:v>
                </c:pt>
                <c:pt idx="28">
                  <c:v>89.75388821361602</c:v>
                </c:pt>
                <c:pt idx="29">
                  <c:v>89.75388821361602</c:v>
                </c:pt>
                <c:pt idx="30">
                  <c:v>0.0</c:v>
                </c:pt>
                <c:pt idx="31">
                  <c:v>0.0</c:v>
                </c:pt>
                <c:pt idx="32">
                  <c:v>89.75388821361602</c:v>
                </c:pt>
                <c:pt idx="33">
                  <c:v>89.75388821361602</c:v>
                </c:pt>
                <c:pt idx="34">
                  <c:v>89.75388821361602</c:v>
                </c:pt>
                <c:pt idx="35">
                  <c:v>89.75388821361602</c:v>
                </c:pt>
                <c:pt idx="36">
                  <c:v>89.75388821361602</c:v>
                </c:pt>
                <c:pt idx="37">
                  <c:v>89.75388821361602</c:v>
                </c:pt>
                <c:pt idx="38">
                  <c:v>89.75388821361602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71-CA45-B10B-C32844254505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SEP!$C$9:$C$47</c:f>
              <c:numCache>
                <c:formatCode>d;@</c:formatCode>
                <c:ptCount val="39"/>
                <c:pt idx="0">
                  <c:v>43343.0</c:v>
                </c:pt>
                <c:pt idx="1">
                  <c:v>43344.0</c:v>
                </c:pt>
                <c:pt idx="2">
                  <c:v>43345.0</c:v>
                </c:pt>
                <c:pt idx="5">
                  <c:v>43346.0</c:v>
                </c:pt>
                <c:pt idx="6">
                  <c:v>43347.0</c:v>
                </c:pt>
                <c:pt idx="7">
                  <c:v>43348.0</c:v>
                </c:pt>
                <c:pt idx="8">
                  <c:v>43349.0</c:v>
                </c:pt>
                <c:pt idx="9">
                  <c:v>43350.0</c:v>
                </c:pt>
                <c:pt idx="10">
                  <c:v>43351.0</c:v>
                </c:pt>
                <c:pt idx="11">
                  <c:v>43352.0</c:v>
                </c:pt>
                <c:pt idx="14">
                  <c:v>43353.0</c:v>
                </c:pt>
                <c:pt idx="15">
                  <c:v>43354.0</c:v>
                </c:pt>
                <c:pt idx="16">
                  <c:v>43355.0</c:v>
                </c:pt>
                <c:pt idx="17">
                  <c:v>43356.0</c:v>
                </c:pt>
                <c:pt idx="18">
                  <c:v>43357.0</c:v>
                </c:pt>
                <c:pt idx="19">
                  <c:v>43358.0</c:v>
                </c:pt>
                <c:pt idx="20">
                  <c:v>43359.0</c:v>
                </c:pt>
                <c:pt idx="23">
                  <c:v>43360.0</c:v>
                </c:pt>
                <c:pt idx="24">
                  <c:v>43361.0</c:v>
                </c:pt>
                <c:pt idx="25">
                  <c:v>43362.0</c:v>
                </c:pt>
                <c:pt idx="26">
                  <c:v>43363.0</c:v>
                </c:pt>
                <c:pt idx="27">
                  <c:v>43364.0</c:v>
                </c:pt>
                <c:pt idx="28">
                  <c:v>43365.0</c:v>
                </c:pt>
                <c:pt idx="29">
                  <c:v>43366.0</c:v>
                </c:pt>
                <c:pt idx="32">
                  <c:v>43367.0</c:v>
                </c:pt>
                <c:pt idx="33">
                  <c:v>43368.0</c:v>
                </c:pt>
                <c:pt idx="34">
                  <c:v>43369.0</c:v>
                </c:pt>
                <c:pt idx="35">
                  <c:v>43370.0</c:v>
                </c:pt>
                <c:pt idx="36">
                  <c:v>43371.0</c:v>
                </c:pt>
                <c:pt idx="37">
                  <c:v>43372.0</c:v>
                </c:pt>
                <c:pt idx="38">
                  <c:v>43373.0</c:v>
                </c:pt>
              </c:numCache>
            </c:numRef>
          </c:cat>
          <c:val>
            <c:numRef>
              <c:f>SEP!$AB$9:$AB$47</c:f>
              <c:numCache>
                <c:formatCode>#,##0.0</c:formatCode>
                <c:ptCount val="3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71-CA45-B10B-C32844254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75832264"/>
        <c:axId val="-2035059096"/>
      </c:lineChart>
      <c:dateAx>
        <c:axId val="-1975832264"/>
        <c:scaling>
          <c:orientation val="minMax"/>
          <c:max val="43373.0"/>
          <c:min val="43343.0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-2035059096"/>
        <c:crosses val="autoZero"/>
        <c:auto val="1"/>
        <c:lblOffset val="100"/>
        <c:baseTimeUnit val="days"/>
      </c:dateAx>
      <c:valAx>
        <c:axId val="-2035059096"/>
        <c:scaling>
          <c:orientation val="minMax"/>
          <c:min val="0.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-1975832264"/>
        <c:crossesAt val="43343.0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1505191362717"/>
          <c:y val="0.251853859212731"/>
          <c:w val="0.865392940718945"/>
          <c:h val="0.6448622676745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SEP!$C$10:$C$47</c:f>
              <c:numCache>
                <c:formatCode>d;@</c:formatCode>
                <c:ptCount val="38"/>
                <c:pt idx="0">
                  <c:v>43344.0</c:v>
                </c:pt>
                <c:pt idx="1">
                  <c:v>43345.0</c:v>
                </c:pt>
                <c:pt idx="4">
                  <c:v>43346.0</c:v>
                </c:pt>
                <c:pt idx="5">
                  <c:v>43347.0</c:v>
                </c:pt>
                <c:pt idx="6">
                  <c:v>43348.0</c:v>
                </c:pt>
                <c:pt idx="7">
                  <c:v>43349.0</c:v>
                </c:pt>
                <c:pt idx="8">
                  <c:v>43350.0</c:v>
                </c:pt>
                <c:pt idx="9">
                  <c:v>43351.0</c:v>
                </c:pt>
                <c:pt idx="10">
                  <c:v>43352.0</c:v>
                </c:pt>
                <c:pt idx="13">
                  <c:v>43353.0</c:v>
                </c:pt>
                <c:pt idx="14">
                  <c:v>43354.0</c:v>
                </c:pt>
                <c:pt idx="15">
                  <c:v>43355.0</c:v>
                </c:pt>
                <c:pt idx="16">
                  <c:v>43356.0</c:v>
                </c:pt>
                <c:pt idx="17">
                  <c:v>43357.0</c:v>
                </c:pt>
                <c:pt idx="18">
                  <c:v>43358.0</c:v>
                </c:pt>
                <c:pt idx="19">
                  <c:v>43359.0</c:v>
                </c:pt>
                <c:pt idx="22">
                  <c:v>43360.0</c:v>
                </c:pt>
                <c:pt idx="23">
                  <c:v>43361.0</c:v>
                </c:pt>
                <c:pt idx="24">
                  <c:v>43362.0</c:v>
                </c:pt>
                <c:pt idx="25">
                  <c:v>43363.0</c:v>
                </c:pt>
                <c:pt idx="26">
                  <c:v>43364.0</c:v>
                </c:pt>
                <c:pt idx="27">
                  <c:v>43365.0</c:v>
                </c:pt>
                <c:pt idx="28">
                  <c:v>43366.0</c:v>
                </c:pt>
                <c:pt idx="31">
                  <c:v>43367.0</c:v>
                </c:pt>
                <c:pt idx="32">
                  <c:v>43368.0</c:v>
                </c:pt>
                <c:pt idx="33">
                  <c:v>43369.0</c:v>
                </c:pt>
                <c:pt idx="34">
                  <c:v>43370.0</c:v>
                </c:pt>
                <c:pt idx="35">
                  <c:v>43371.0</c:v>
                </c:pt>
                <c:pt idx="36">
                  <c:v>43372.0</c:v>
                </c:pt>
                <c:pt idx="37">
                  <c:v>43373.0</c:v>
                </c:pt>
              </c:numCache>
            </c:numRef>
          </c:cat>
          <c:val>
            <c:numRef>
              <c:f>SEP!$R$10:$R$47</c:f>
              <c:numCache>
                <c:formatCode>#,##0.0</c:formatCode>
                <c:ptCount val="38"/>
                <c:pt idx="0">
                  <c:v>0.0</c:v>
                </c:pt>
                <c:pt idx="1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7B-C14D-B096-819F6AB2D9DD}"/>
            </c:ext>
          </c:extLst>
        </c:ser>
        <c:ser>
          <c:idx val="1"/>
          <c:order val="1"/>
          <c:invertIfNegative val="0"/>
          <c:cat>
            <c:numRef>
              <c:f>SEP!$C$10:$C$47</c:f>
              <c:numCache>
                <c:formatCode>d;@</c:formatCode>
                <c:ptCount val="38"/>
                <c:pt idx="0">
                  <c:v>43344.0</c:v>
                </c:pt>
                <c:pt idx="1">
                  <c:v>43345.0</c:v>
                </c:pt>
                <c:pt idx="4">
                  <c:v>43346.0</c:v>
                </c:pt>
                <c:pt idx="5">
                  <c:v>43347.0</c:v>
                </c:pt>
                <c:pt idx="6">
                  <c:v>43348.0</c:v>
                </c:pt>
                <c:pt idx="7">
                  <c:v>43349.0</c:v>
                </c:pt>
                <c:pt idx="8">
                  <c:v>43350.0</c:v>
                </c:pt>
                <c:pt idx="9">
                  <c:v>43351.0</c:v>
                </c:pt>
                <c:pt idx="10">
                  <c:v>43352.0</c:v>
                </c:pt>
                <c:pt idx="13">
                  <c:v>43353.0</c:v>
                </c:pt>
                <c:pt idx="14">
                  <c:v>43354.0</c:v>
                </c:pt>
                <c:pt idx="15">
                  <c:v>43355.0</c:v>
                </c:pt>
                <c:pt idx="16">
                  <c:v>43356.0</c:v>
                </c:pt>
                <c:pt idx="17">
                  <c:v>43357.0</c:v>
                </c:pt>
                <c:pt idx="18">
                  <c:v>43358.0</c:v>
                </c:pt>
                <c:pt idx="19">
                  <c:v>43359.0</c:v>
                </c:pt>
                <c:pt idx="22">
                  <c:v>43360.0</c:v>
                </c:pt>
                <c:pt idx="23">
                  <c:v>43361.0</c:v>
                </c:pt>
                <c:pt idx="24">
                  <c:v>43362.0</c:v>
                </c:pt>
                <c:pt idx="25">
                  <c:v>43363.0</c:v>
                </c:pt>
                <c:pt idx="26">
                  <c:v>43364.0</c:v>
                </c:pt>
                <c:pt idx="27">
                  <c:v>43365.0</c:v>
                </c:pt>
                <c:pt idx="28">
                  <c:v>43366.0</c:v>
                </c:pt>
                <c:pt idx="31">
                  <c:v>43367.0</c:v>
                </c:pt>
                <c:pt idx="32">
                  <c:v>43368.0</c:v>
                </c:pt>
                <c:pt idx="33">
                  <c:v>43369.0</c:v>
                </c:pt>
                <c:pt idx="34">
                  <c:v>43370.0</c:v>
                </c:pt>
                <c:pt idx="35">
                  <c:v>43371.0</c:v>
                </c:pt>
                <c:pt idx="36">
                  <c:v>43372.0</c:v>
                </c:pt>
                <c:pt idx="37">
                  <c:v>43373.0</c:v>
                </c:pt>
              </c:numCache>
            </c:numRef>
          </c:cat>
          <c:val>
            <c:numRef>
              <c:f>SEP!$T$10:$T$47</c:f>
              <c:numCache>
                <c:formatCode>#,##0.0</c:formatCode>
                <c:ptCount val="3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7B-C14D-B096-819F6AB2D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348136"/>
        <c:axId val="1846351480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SEP!$C$10:$C$47</c:f>
              <c:numCache>
                <c:formatCode>d;@</c:formatCode>
                <c:ptCount val="38"/>
                <c:pt idx="0">
                  <c:v>43344.0</c:v>
                </c:pt>
                <c:pt idx="1">
                  <c:v>43345.0</c:v>
                </c:pt>
                <c:pt idx="4">
                  <c:v>43346.0</c:v>
                </c:pt>
                <c:pt idx="5">
                  <c:v>43347.0</c:v>
                </c:pt>
                <c:pt idx="6">
                  <c:v>43348.0</c:v>
                </c:pt>
                <c:pt idx="7">
                  <c:v>43349.0</c:v>
                </c:pt>
                <c:pt idx="8">
                  <c:v>43350.0</c:v>
                </c:pt>
                <c:pt idx="9">
                  <c:v>43351.0</c:v>
                </c:pt>
                <c:pt idx="10">
                  <c:v>43352.0</c:v>
                </c:pt>
                <c:pt idx="13">
                  <c:v>43353.0</c:v>
                </c:pt>
                <c:pt idx="14">
                  <c:v>43354.0</c:v>
                </c:pt>
                <c:pt idx="15">
                  <c:v>43355.0</c:v>
                </c:pt>
                <c:pt idx="16">
                  <c:v>43356.0</c:v>
                </c:pt>
                <c:pt idx="17">
                  <c:v>43357.0</c:v>
                </c:pt>
                <c:pt idx="18">
                  <c:v>43358.0</c:v>
                </c:pt>
                <c:pt idx="19">
                  <c:v>43359.0</c:v>
                </c:pt>
                <c:pt idx="22">
                  <c:v>43360.0</c:v>
                </c:pt>
                <c:pt idx="23">
                  <c:v>43361.0</c:v>
                </c:pt>
                <c:pt idx="24">
                  <c:v>43362.0</c:v>
                </c:pt>
                <c:pt idx="25">
                  <c:v>43363.0</c:v>
                </c:pt>
                <c:pt idx="26">
                  <c:v>43364.0</c:v>
                </c:pt>
                <c:pt idx="27">
                  <c:v>43365.0</c:v>
                </c:pt>
                <c:pt idx="28">
                  <c:v>43366.0</c:v>
                </c:pt>
                <c:pt idx="31">
                  <c:v>43367.0</c:v>
                </c:pt>
                <c:pt idx="32">
                  <c:v>43368.0</c:v>
                </c:pt>
                <c:pt idx="33">
                  <c:v>43369.0</c:v>
                </c:pt>
                <c:pt idx="34">
                  <c:v>43370.0</c:v>
                </c:pt>
                <c:pt idx="35">
                  <c:v>43371.0</c:v>
                </c:pt>
                <c:pt idx="36">
                  <c:v>43372.0</c:v>
                </c:pt>
                <c:pt idx="37">
                  <c:v>43373.0</c:v>
                </c:pt>
              </c:numCache>
            </c:numRef>
          </c:cat>
          <c:val>
            <c:numRef>
              <c:f>SEP!$U$10:$U$47</c:f>
              <c:numCache>
                <c:formatCode>#,##0.0</c:formatCode>
                <c:ptCount val="3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7B-C14D-B096-819F6AB2D9DD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SEP!$C$10:$C$47</c:f>
              <c:numCache>
                <c:formatCode>d;@</c:formatCode>
                <c:ptCount val="38"/>
                <c:pt idx="0">
                  <c:v>43344.0</c:v>
                </c:pt>
                <c:pt idx="1">
                  <c:v>43345.0</c:v>
                </c:pt>
                <c:pt idx="4">
                  <c:v>43346.0</c:v>
                </c:pt>
                <c:pt idx="5">
                  <c:v>43347.0</c:v>
                </c:pt>
                <c:pt idx="6">
                  <c:v>43348.0</c:v>
                </c:pt>
                <c:pt idx="7">
                  <c:v>43349.0</c:v>
                </c:pt>
                <c:pt idx="8">
                  <c:v>43350.0</c:v>
                </c:pt>
                <c:pt idx="9">
                  <c:v>43351.0</c:v>
                </c:pt>
                <c:pt idx="10">
                  <c:v>43352.0</c:v>
                </c:pt>
                <c:pt idx="13">
                  <c:v>43353.0</c:v>
                </c:pt>
                <c:pt idx="14">
                  <c:v>43354.0</c:v>
                </c:pt>
                <c:pt idx="15">
                  <c:v>43355.0</c:v>
                </c:pt>
                <c:pt idx="16">
                  <c:v>43356.0</c:v>
                </c:pt>
                <c:pt idx="17">
                  <c:v>43357.0</c:v>
                </c:pt>
                <c:pt idx="18">
                  <c:v>43358.0</c:v>
                </c:pt>
                <c:pt idx="19">
                  <c:v>43359.0</c:v>
                </c:pt>
                <c:pt idx="22">
                  <c:v>43360.0</c:v>
                </c:pt>
                <c:pt idx="23">
                  <c:v>43361.0</c:v>
                </c:pt>
                <c:pt idx="24">
                  <c:v>43362.0</c:v>
                </c:pt>
                <c:pt idx="25">
                  <c:v>43363.0</c:v>
                </c:pt>
                <c:pt idx="26">
                  <c:v>43364.0</c:v>
                </c:pt>
                <c:pt idx="27">
                  <c:v>43365.0</c:v>
                </c:pt>
                <c:pt idx="28">
                  <c:v>43366.0</c:v>
                </c:pt>
                <c:pt idx="31">
                  <c:v>43367.0</c:v>
                </c:pt>
                <c:pt idx="32">
                  <c:v>43368.0</c:v>
                </c:pt>
                <c:pt idx="33">
                  <c:v>43369.0</c:v>
                </c:pt>
                <c:pt idx="34">
                  <c:v>43370.0</c:v>
                </c:pt>
                <c:pt idx="35">
                  <c:v>43371.0</c:v>
                </c:pt>
                <c:pt idx="36">
                  <c:v>43372.0</c:v>
                </c:pt>
                <c:pt idx="37">
                  <c:v>43373.0</c:v>
                </c:pt>
              </c:numCache>
            </c:numRef>
          </c:cat>
          <c:val>
            <c:numRef>
              <c:f>SEP!$V$10:$V$47</c:f>
              <c:numCache>
                <c:formatCode>#,##0.00</c:formatCode>
                <c:ptCount val="38"/>
                <c:pt idx="0">
                  <c:v>0.0</c:v>
                </c:pt>
                <c:pt idx="1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7B-C14D-B096-819F6AB2D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1846315352"/>
        <c:axId val="1846312088"/>
      </c:barChart>
      <c:dateAx>
        <c:axId val="1846348136"/>
        <c:scaling>
          <c:orientation val="minMax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846351480"/>
        <c:crosses val="autoZero"/>
        <c:auto val="1"/>
        <c:lblOffset val="100"/>
        <c:baseTimeUnit val="days"/>
      </c:dateAx>
      <c:valAx>
        <c:axId val="1846351480"/>
        <c:scaling>
          <c:orientation val="minMax"/>
          <c:min val="0.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1846348136"/>
        <c:crosses val="autoZero"/>
        <c:crossBetween val="between"/>
      </c:valAx>
      <c:valAx>
        <c:axId val="1846312088"/>
        <c:scaling>
          <c:orientation val="minMax"/>
          <c:max val="6.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1846315352"/>
        <c:crosses val="max"/>
        <c:crossBetween val="between"/>
      </c:valAx>
      <c:dateAx>
        <c:axId val="1846315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1846312088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"/>
          <c:y val="0.016100445578174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37398098378587"/>
          <c:y val="0.197282609058995"/>
          <c:w val="0.863599047286655"/>
          <c:h val="0.70829764944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SEP!$P$52:$V$52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SEP!$P$53:$V$53</c:f>
              <c:numCache>
                <c:formatCode>General</c:formatCode>
                <c:ptCount val="7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5.0</c:v>
                </c:pt>
                <c:pt idx="6">
                  <c:v>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1E-2B45-BB6C-8859095664AE}"/>
            </c:ext>
          </c:extLst>
        </c:ser>
        <c:ser>
          <c:idx val="1"/>
          <c:order val="1"/>
          <c:tx>
            <c:strRef>
              <c:f>SEP!$O$54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SEP!$P$52:$V$52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SEP!$P$54:$V$54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1E-2B45-BB6C-8859095664AE}"/>
            </c:ext>
          </c:extLst>
        </c:ser>
        <c:ser>
          <c:idx val="2"/>
          <c:order val="2"/>
          <c:tx>
            <c:strRef>
              <c:f>SEP!$O$55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SEP!$P$52:$V$52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SEP!$P$55:$V$55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1E-2B45-BB6C-8859095664AE}"/>
            </c:ext>
          </c:extLst>
        </c:ser>
        <c:ser>
          <c:idx val="4"/>
          <c:order val="3"/>
          <c:tx>
            <c:strRef>
              <c:f>SEP!$O$56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SEP!$P$52:$V$52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SEP!$P$56:$V$56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01E-2B45-BB6C-8859095664AE}"/>
            </c:ext>
          </c:extLst>
        </c:ser>
        <c:ser>
          <c:idx val="6"/>
          <c:order val="4"/>
          <c:tx>
            <c:strRef>
              <c:f>SEP!$O$59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SEP!$P$52:$V$52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SEP!$P$59:$V$59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01E-2B45-BB6C-885909566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231704"/>
        <c:axId val="1846234792"/>
      </c:barChart>
      <c:catAx>
        <c:axId val="1846231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846234792"/>
        <c:crosses val="autoZero"/>
        <c:auto val="0"/>
        <c:lblAlgn val="ctr"/>
        <c:lblOffset val="100"/>
        <c:noMultiLvlLbl val="0"/>
      </c:catAx>
      <c:valAx>
        <c:axId val="1846234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846231704"/>
        <c:crosses val="autoZero"/>
        <c:crossBetween val="between"/>
        <c:majorUnit val="1.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"/>
          <c:w val="0.852257405751388"/>
          <c:h val="0.0871063201234685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 monthly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  date</a:t>
            </a:r>
          </a:p>
        </c:rich>
      </c:tx>
      <c:layout>
        <c:manualLayout>
          <c:xMode val="edge"/>
          <c:yMode val="edge"/>
          <c:x val="0.120562605111022"/>
          <c:y val="0.32664719974798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982871397215672"/>
          <c:y val="0.0609140180360491"/>
          <c:w val="0.890845181904938"/>
          <c:h val="0.864771029434899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JAN!$C$4:$D$43</c:f>
              <c:numCache>
                <c:formatCode>d;@</c:formatCode>
                <c:ptCount val="40"/>
                <c:pt idx="0">
                  <c:v>43100.0</c:v>
                </c:pt>
                <c:pt idx="1">
                  <c:v>43101.0</c:v>
                </c:pt>
                <c:pt idx="2">
                  <c:v>43102.0</c:v>
                </c:pt>
                <c:pt idx="3">
                  <c:v>43103.0</c:v>
                </c:pt>
                <c:pt idx="4">
                  <c:v>43104.0</c:v>
                </c:pt>
                <c:pt idx="5">
                  <c:v>43105.0</c:v>
                </c:pt>
                <c:pt idx="6">
                  <c:v>43106.0</c:v>
                </c:pt>
                <c:pt idx="7">
                  <c:v>43107.0</c:v>
                </c:pt>
                <c:pt idx="10">
                  <c:v>43108.0</c:v>
                </c:pt>
                <c:pt idx="11">
                  <c:v>43109.0</c:v>
                </c:pt>
                <c:pt idx="12">
                  <c:v>43110.0</c:v>
                </c:pt>
                <c:pt idx="13">
                  <c:v>43111.0</c:v>
                </c:pt>
                <c:pt idx="14">
                  <c:v>43112.0</c:v>
                </c:pt>
                <c:pt idx="15">
                  <c:v>43113.0</c:v>
                </c:pt>
                <c:pt idx="16">
                  <c:v>43114.0</c:v>
                </c:pt>
                <c:pt idx="19">
                  <c:v>43115.0</c:v>
                </c:pt>
                <c:pt idx="20">
                  <c:v>43116.0</c:v>
                </c:pt>
                <c:pt idx="21">
                  <c:v>43117.0</c:v>
                </c:pt>
                <c:pt idx="22">
                  <c:v>43118.0</c:v>
                </c:pt>
                <c:pt idx="23">
                  <c:v>43119.0</c:v>
                </c:pt>
                <c:pt idx="24">
                  <c:v>43120.0</c:v>
                </c:pt>
                <c:pt idx="25">
                  <c:v>43121.0</c:v>
                </c:pt>
                <c:pt idx="28">
                  <c:v>43122.0</c:v>
                </c:pt>
                <c:pt idx="29">
                  <c:v>43123.0</c:v>
                </c:pt>
                <c:pt idx="30">
                  <c:v>43124.0</c:v>
                </c:pt>
                <c:pt idx="31">
                  <c:v>43125.0</c:v>
                </c:pt>
                <c:pt idx="32">
                  <c:v>43126.0</c:v>
                </c:pt>
                <c:pt idx="33">
                  <c:v>43127.0</c:v>
                </c:pt>
                <c:pt idx="34">
                  <c:v>43128.0</c:v>
                </c:pt>
                <c:pt idx="37">
                  <c:v>43129.0</c:v>
                </c:pt>
                <c:pt idx="38">
                  <c:v>43130.0</c:v>
                </c:pt>
                <c:pt idx="39">
                  <c:v>43131.0</c:v>
                </c:pt>
              </c:numCache>
            </c:numRef>
          </c:cat>
          <c:val>
            <c:numRef>
              <c:f>JAN!$Q$4:$Q$43</c:f>
              <c:numCache>
                <c:formatCode>#,##0.0</c:formatCode>
                <c:ptCount val="40"/>
                <c:pt idx="0">
                  <c:v>31.00089728880267</c:v>
                </c:pt>
                <c:pt idx="1">
                  <c:v>31.00089728880267</c:v>
                </c:pt>
                <c:pt idx="2">
                  <c:v>31.00089728880267</c:v>
                </c:pt>
                <c:pt idx="3">
                  <c:v>31.00089728880267</c:v>
                </c:pt>
                <c:pt idx="4">
                  <c:v>31.00089728880267</c:v>
                </c:pt>
                <c:pt idx="5">
                  <c:v>31.00089728880267</c:v>
                </c:pt>
                <c:pt idx="6">
                  <c:v>31.00089728880267</c:v>
                </c:pt>
                <c:pt idx="7">
                  <c:v>31.00089728880267</c:v>
                </c:pt>
                <c:pt idx="8">
                  <c:v>0.0</c:v>
                </c:pt>
                <c:pt idx="9">
                  <c:v>0.0</c:v>
                </c:pt>
                <c:pt idx="10">
                  <c:v>31.00089728880267</c:v>
                </c:pt>
                <c:pt idx="11">
                  <c:v>31.00089728880267</c:v>
                </c:pt>
                <c:pt idx="12">
                  <c:v>31.00089728880267</c:v>
                </c:pt>
                <c:pt idx="13">
                  <c:v>31.00089728880267</c:v>
                </c:pt>
                <c:pt idx="14">
                  <c:v>31.00089728880267</c:v>
                </c:pt>
                <c:pt idx="15">
                  <c:v>31.00089728880267</c:v>
                </c:pt>
                <c:pt idx="16">
                  <c:v>31.00089728880267</c:v>
                </c:pt>
                <c:pt idx="17">
                  <c:v>0.0</c:v>
                </c:pt>
                <c:pt idx="18">
                  <c:v>0.0</c:v>
                </c:pt>
                <c:pt idx="19">
                  <c:v>31.00089728880267</c:v>
                </c:pt>
                <c:pt idx="20">
                  <c:v>31.00089728880267</c:v>
                </c:pt>
                <c:pt idx="21">
                  <c:v>31.00089728880267</c:v>
                </c:pt>
                <c:pt idx="22">
                  <c:v>31.00089728880267</c:v>
                </c:pt>
                <c:pt idx="23">
                  <c:v>31.00089728880267</c:v>
                </c:pt>
                <c:pt idx="24">
                  <c:v>31.00089728880267</c:v>
                </c:pt>
                <c:pt idx="25">
                  <c:v>31.00089728880267</c:v>
                </c:pt>
                <c:pt idx="26">
                  <c:v>0.0</c:v>
                </c:pt>
                <c:pt idx="27">
                  <c:v>0.0</c:v>
                </c:pt>
                <c:pt idx="28">
                  <c:v>31.00089728880267</c:v>
                </c:pt>
                <c:pt idx="29">
                  <c:v>31.00089728880267</c:v>
                </c:pt>
                <c:pt idx="30">
                  <c:v>31.00089728880267</c:v>
                </c:pt>
                <c:pt idx="31">
                  <c:v>31.00089728880267</c:v>
                </c:pt>
                <c:pt idx="32">
                  <c:v>31.00089728880267</c:v>
                </c:pt>
                <c:pt idx="33">
                  <c:v>31.00089728880267</c:v>
                </c:pt>
                <c:pt idx="34">
                  <c:v>31.00089728880267</c:v>
                </c:pt>
                <c:pt idx="35">
                  <c:v>0.0</c:v>
                </c:pt>
                <c:pt idx="36">
                  <c:v>0.0</c:v>
                </c:pt>
                <c:pt idx="37">
                  <c:v>31.00089728880267</c:v>
                </c:pt>
                <c:pt idx="38">
                  <c:v>31.00089728880267</c:v>
                </c:pt>
                <c:pt idx="39">
                  <c:v>31.00089728880267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D8-8544-930D-BAE0DC7AC437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JAN!$C$4:$D$43</c:f>
              <c:numCache>
                <c:formatCode>d;@</c:formatCode>
                <c:ptCount val="40"/>
                <c:pt idx="0">
                  <c:v>43100.0</c:v>
                </c:pt>
                <c:pt idx="1">
                  <c:v>43101.0</c:v>
                </c:pt>
                <c:pt idx="2">
                  <c:v>43102.0</c:v>
                </c:pt>
                <c:pt idx="3">
                  <c:v>43103.0</c:v>
                </c:pt>
                <c:pt idx="4">
                  <c:v>43104.0</c:v>
                </c:pt>
                <c:pt idx="5">
                  <c:v>43105.0</c:v>
                </c:pt>
                <c:pt idx="6">
                  <c:v>43106.0</c:v>
                </c:pt>
                <c:pt idx="7">
                  <c:v>43107.0</c:v>
                </c:pt>
                <c:pt idx="10">
                  <c:v>43108.0</c:v>
                </c:pt>
                <c:pt idx="11">
                  <c:v>43109.0</c:v>
                </c:pt>
                <c:pt idx="12">
                  <c:v>43110.0</c:v>
                </c:pt>
                <c:pt idx="13">
                  <c:v>43111.0</c:v>
                </c:pt>
                <c:pt idx="14">
                  <c:v>43112.0</c:v>
                </c:pt>
                <c:pt idx="15">
                  <c:v>43113.0</c:v>
                </c:pt>
                <c:pt idx="16">
                  <c:v>43114.0</c:v>
                </c:pt>
                <c:pt idx="19">
                  <c:v>43115.0</c:v>
                </c:pt>
                <c:pt idx="20">
                  <c:v>43116.0</c:v>
                </c:pt>
                <c:pt idx="21">
                  <c:v>43117.0</c:v>
                </c:pt>
                <c:pt idx="22">
                  <c:v>43118.0</c:v>
                </c:pt>
                <c:pt idx="23">
                  <c:v>43119.0</c:v>
                </c:pt>
                <c:pt idx="24">
                  <c:v>43120.0</c:v>
                </c:pt>
                <c:pt idx="25">
                  <c:v>43121.0</c:v>
                </c:pt>
                <c:pt idx="28">
                  <c:v>43122.0</c:v>
                </c:pt>
                <c:pt idx="29">
                  <c:v>43123.0</c:v>
                </c:pt>
                <c:pt idx="30">
                  <c:v>43124.0</c:v>
                </c:pt>
                <c:pt idx="31">
                  <c:v>43125.0</c:v>
                </c:pt>
                <c:pt idx="32">
                  <c:v>43126.0</c:v>
                </c:pt>
                <c:pt idx="33">
                  <c:v>43127.0</c:v>
                </c:pt>
                <c:pt idx="34">
                  <c:v>43128.0</c:v>
                </c:pt>
                <c:pt idx="37">
                  <c:v>43129.0</c:v>
                </c:pt>
                <c:pt idx="38">
                  <c:v>43130.0</c:v>
                </c:pt>
                <c:pt idx="39">
                  <c:v>43131.0</c:v>
                </c:pt>
              </c:numCache>
            </c:numRef>
          </c:cat>
          <c:val>
            <c:numRef>
              <c:f>JAN!$AB$4:$AB$43</c:f>
              <c:numCache>
                <c:formatCode>#,##0.0</c:formatCode>
                <c:ptCount val="40"/>
                <c:pt idx="0" formatCode="General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D8-8544-930D-BAE0DC7AC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9093800"/>
        <c:axId val="-1959102632"/>
      </c:lineChart>
      <c:dateAx>
        <c:axId val="-1959093800"/>
        <c:scaling>
          <c:orientation val="minMax"/>
          <c:max val="43131.0"/>
          <c:min val="43100.0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-1959102632"/>
        <c:crosses val="autoZero"/>
        <c:auto val="1"/>
        <c:lblOffset val="100"/>
        <c:baseTimeUnit val="days"/>
      </c:dateAx>
      <c:valAx>
        <c:axId val="-1959102632"/>
        <c:scaling>
          <c:orientation val="minMax"/>
          <c:min val="0.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-1959093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 monthly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  date</a:t>
            </a:r>
          </a:p>
        </c:rich>
      </c:tx>
      <c:layout>
        <c:manualLayout>
          <c:xMode val="edge"/>
          <c:yMode val="edge"/>
          <c:x val="0.120562605111022"/>
          <c:y val="0.32664719974798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775661488732"/>
          <c:y val="0.0643914636487127"/>
          <c:w val="0.890845181904938"/>
          <c:h val="0.864771029434899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OCT!$C$4:$C$43</c:f>
              <c:numCache>
                <c:formatCode>d;@</c:formatCode>
                <c:ptCount val="40"/>
                <c:pt idx="0">
                  <c:v>43373.0</c:v>
                </c:pt>
                <c:pt idx="1">
                  <c:v>43374.0</c:v>
                </c:pt>
                <c:pt idx="2">
                  <c:v>43375.0</c:v>
                </c:pt>
                <c:pt idx="3">
                  <c:v>43376.0</c:v>
                </c:pt>
                <c:pt idx="4">
                  <c:v>43377.0</c:v>
                </c:pt>
                <c:pt idx="5">
                  <c:v>43378.0</c:v>
                </c:pt>
                <c:pt idx="6">
                  <c:v>43379.0</c:v>
                </c:pt>
                <c:pt idx="7">
                  <c:v>43380.0</c:v>
                </c:pt>
                <c:pt idx="10">
                  <c:v>43381.0</c:v>
                </c:pt>
                <c:pt idx="11">
                  <c:v>43382.0</c:v>
                </c:pt>
                <c:pt idx="12">
                  <c:v>43383.0</c:v>
                </c:pt>
                <c:pt idx="13">
                  <c:v>43384.0</c:v>
                </c:pt>
                <c:pt idx="14">
                  <c:v>43385.0</c:v>
                </c:pt>
                <c:pt idx="15">
                  <c:v>43386.0</c:v>
                </c:pt>
                <c:pt idx="16">
                  <c:v>43387.0</c:v>
                </c:pt>
                <c:pt idx="19">
                  <c:v>43388.0</c:v>
                </c:pt>
                <c:pt idx="20">
                  <c:v>43389.0</c:v>
                </c:pt>
                <c:pt idx="21">
                  <c:v>43390.0</c:v>
                </c:pt>
                <c:pt idx="22">
                  <c:v>43391.0</c:v>
                </c:pt>
                <c:pt idx="23">
                  <c:v>43392.0</c:v>
                </c:pt>
                <c:pt idx="24">
                  <c:v>43393.0</c:v>
                </c:pt>
                <c:pt idx="25">
                  <c:v>43394.0</c:v>
                </c:pt>
                <c:pt idx="28">
                  <c:v>43395.0</c:v>
                </c:pt>
                <c:pt idx="29">
                  <c:v>43396.0</c:v>
                </c:pt>
                <c:pt idx="30">
                  <c:v>43397.0</c:v>
                </c:pt>
                <c:pt idx="31">
                  <c:v>43398.0</c:v>
                </c:pt>
                <c:pt idx="32">
                  <c:v>43399.0</c:v>
                </c:pt>
                <c:pt idx="33">
                  <c:v>43400.0</c:v>
                </c:pt>
                <c:pt idx="34">
                  <c:v>43401.0</c:v>
                </c:pt>
                <c:pt idx="37">
                  <c:v>43402.0</c:v>
                </c:pt>
                <c:pt idx="38">
                  <c:v>43403.0</c:v>
                </c:pt>
                <c:pt idx="39">
                  <c:v>43404.0</c:v>
                </c:pt>
              </c:numCache>
            </c:numRef>
          </c:cat>
          <c:val>
            <c:numRef>
              <c:f>OCT!$Q$4:$Q$43</c:f>
              <c:numCache>
                <c:formatCode>#,##0.0</c:formatCode>
                <c:ptCount val="40"/>
                <c:pt idx="0">
                  <c:v>122.9879888470167</c:v>
                </c:pt>
                <c:pt idx="1">
                  <c:v>122.9879888470167</c:v>
                </c:pt>
                <c:pt idx="2">
                  <c:v>122.9879888470167</c:v>
                </c:pt>
                <c:pt idx="3">
                  <c:v>122.9879888470167</c:v>
                </c:pt>
                <c:pt idx="4">
                  <c:v>122.9879888470167</c:v>
                </c:pt>
                <c:pt idx="5">
                  <c:v>122.9879888470167</c:v>
                </c:pt>
                <c:pt idx="6">
                  <c:v>122.9879888470167</c:v>
                </c:pt>
                <c:pt idx="7">
                  <c:v>122.9879888470167</c:v>
                </c:pt>
                <c:pt idx="8">
                  <c:v>0.0</c:v>
                </c:pt>
                <c:pt idx="9">
                  <c:v>0.0</c:v>
                </c:pt>
                <c:pt idx="10">
                  <c:v>122.9879888470167</c:v>
                </c:pt>
                <c:pt idx="11">
                  <c:v>122.9879888470167</c:v>
                </c:pt>
                <c:pt idx="12">
                  <c:v>122.9879888470167</c:v>
                </c:pt>
                <c:pt idx="13">
                  <c:v>122.9879888470167</c:v>
                </c:pt>
                <c:pt idx="14">
                  <c:v>122.9879888470167</c:v>
                </c:pt>
                <c:pt idx="15">
                  <c:v>122.9879888470167</c:v>
                </c:pt>
                <c:pt idx="16">
                  <c:v>122.9879888470167</c:v>
                </c:pt>
                <c:pt idx="17">
                  <c:v>0.0</c:v>
                </c:pt>
                <c:pt idx="18">
                  <c:v>0.0</c:v>
                </c:pt>
                <c:pt idx="19">
                  <c:v>122.9879888470167</c:v>
                </c:pt>
                <c:pt idx="20">
                  <c:v>122.9879888470167</c:v>
                </c:pt>
                <c:pt idx="21">
                  <c:v>122.9879888470167</c:v>
                </c:pt>
                <c:pt idx="22">
                  <c:v>122.9879888470167</c:v>
                </c:pt>
                <c:pt idx="23">
                  <c:v>122.9879888470167</c:v>
                </c:pt>
                <c:pt idx="24">
                  <c:v>122.9879888470167</c:v>
                </c:pt>
                <c:pt idx="25">
                  <c:v>122.9879888470167</c:v>
                </c:pt>
                <c:pt idx="26">
                  <c:v>0.0</c:v>
                </c:pt>
                <c:pt idx="27">
                  <c:v>0.0</c:v>
                </c:pt>
                <c:pt idx="28">
                  <c:v>122.9879888470167</c:v>
                </c:pt>
                <c:pt idx="29">
                  <c:v>122.9879888470167</c:v>
                </c:pt>
                <c:pt idx="30">
                  <c:v>122.9879888470167</c:v>
                </c:pt>
                <c:pt idx="31">
                  <c:v>122.9879888470167</c:v>
                </c:pt>
                <c:pt idx="32">
                  <c:v>122.9879888470167</c:v>
                </c:pt>
                <c:pt idx="33">
                  <c:v>122.9879888470167</c:v>
                </c:pt>
                <c:pt idx="34">
                  <c:v>122.9879888470167</c:v>
                </c:pt>
                <c:pt idx="35">
                  <c:v>0.0</c:v>
                </c:pt>
                <c:pt idx="36">
                  <c:v>0.0</c:v>
                </c:pt>
                <c:pt idx="37">
                  <c:v>122.9879888470167</c:v>
                </c:pt>
                <c:pt idx="38">
                  <c:v>122.9879888470167</c:v>
                </c:pt>
                <c:pt idx="39">
                  <c:v>122.9879888470167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A-FD41-BA3C-BC99325B1CEE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OCT!$C$4:$C$43</c:f>
              <c:numCache>
                <c:formatCode>d;@</c:formatCode>
                <c:ptCount val="40"/>
                <c:pt idx="0">
                  <c:v>43373.0</c:v>
                </c:pt>
                <c:pt idx="1">
                  <c:v>43374.0</c:v>
                </c:pt>
                <c:pt idx="2">
                  <c:v>43375.0</c:v>
                </c:pt>
                <c:pt idx="3">
                  <c:v>43376.0</c:v>
                </c:pt>
                <c:pt idx="4">
                  <c:v>43377.0</c:v>
                </c:pt>
                <c:pt idx="5">
                  <c:v>43378.0</c:v>
                </c:pt>
                <c:pt idx="6">
                  <c:v>43379.0</c:v>
                </c:pt>
                <c:pt idx="7">
                  <c:v>43380.0</c:v>
                </c:pt>
                <c:pt idx="10">
                  <c:v>43381.0</c:v>
                </c:pt>
                <c:pt idx="11">
                  <c:v>43382.0</c:v>
                </c:pt>
                <c:pt idx="12">
                  <c:v>43383.0</c:v>
                </c:pt>
                <c:pt idx="13">
                  <c:v>43384.0</c:v>
                </c:pt>
                <c:pt idx="14">
                  <c:v>43385.0</c:v>
                </c:pt>
                <c:pt idx="15">
                  <c:v>43386.0</c:v>
                </c:pt>
                <c:pt idx="16">
                  <c:v>43387.0</c:v>
                </c:pt>
                <c:pt idx="19">
                  <c:v>43388.0</c:v>
                </c:pt>
                <c:pt idx="20">
                  <c:v>43389.0</c:v>
                </c:pt>
                <c:pt idx="21">
                  <c:v>43390.0</c:v>
                </c:pt>
                <c:pt idx="22">
                  <c:v>43391.0</c:v>
                </c:pt>
                <c:pt idx="23">
                  <c:v>43392.0</c:v>
                </c:pt>
                <c:pt idx="24">
                  <c:v>43393.0</c:v>
                </c:pt>
                <c:pt idx="25">
                  <c:v>43394.0</c:v>
                </c:pt>
                <c:pt idx="28">
                  <c:v>43395.0</c:v>
                </c:pt>
                <c:pt idx="29">
                  <c:v>43396.0</c:v>
                </c:pt>
                <c:pt idx="30">
                  <c:v>43397.0</c:v>
                </c:pt>
                <c:pt idx="31">
                  <c:v>43398.0</c:v>
                </c:pt>
                <c:pt idx="32">
                  <c:v>43399.0</c:v>
                </c:pt>
                <c:pt idx="33">
                  <c:v>43400.0</c:v>
                </c:pt>
                <c:pt idx="34">
                  <c:v>43401.0</c:v>
                </c:pt>
                <c:pt idx="37">
                  <c:v>43402.0</c:v>
                </c:pt>
                <c:pt idx="38">
                  <c:v>43403.0</c:v>
                </c:pt>
                <c:pt idx="39">
                  <c:v>43404.0</c:v>
                </c:pt>
              </c:numCache>
            </c:numRef>
          </c:cat>
          <c:val>
            <c:numRef>
              <c:f>OCT!$AB$4:$AB$43</c:f>
              <c:numCache>
                <c:formatCode>#,##0.0</c:formatCode>
                <c:ptCount val="40"/>
                <c:pt idx="0" formatCode="General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A-FD41-BA3C-BC99325B1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499528"/>
        <c:axId val="1812220584"/>
      </c:lineChart>
      <c:dateAx>
        <c:axId val="1812499528"/>
        <c:scaling>
          <c:orientation val="minMax"/>
          <c:max val="43404.0"/>
          <c:min val="43373.0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812220584"/>
        <c:crosses val="autoZero"/>
        <c:auto val="1"/>
        <c:lblOffset val="100"/>
        <c:baseTimeUnit val="days"/>
      </c:dateAx>
      <c:valAx>
        <c:axId val="1812220584"/>
        <c:scaling>
          <c:orientation val="minMax"/>
          <c:min val="0.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812499528"/>
        <c:crossesAt val="43373.0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1505191362717"/>
          <c:y val="0.251853859212731"/>
          <c:w val="0.865392940718945"/>
          <c:h val="0.6448622676745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OCT!$C$5:$C$43</c:f>
              <c:numCache>
                <c:formatCode>d;@</c:formatCode>
                <c:ptCount val="39"/>
                <c:pt idx="0">
                  <c:v>43374.0</c:v>
                </c:pt>
                <c:pt idx="1">
                  <c:v>43375.0</c:v>
                </c:pt>
                <c:pt idx="2">
                  <c:v>43376.0</c:v>
                </c:pt>
                <c:pt idx="3">
                  <c:v>43377.0</c:v>
                </c:pt>
                <c:pt idx="4">
                  <c:v>43378.0</c:v>
                </c:pt>
                <c:pt idx="5">
                  <c:v>43379.0</c:v>
                </c:pt>
                <c:pt idx="6">
                  <c:v>43380.0</c:v>
                </c:pt>
                <c:pt idx="9">
                  <c:v>43381.0</c:v>
                </c:pt>
                <c:pt idx="10">
                  <c:v>43382.0</c:v>
                </c:pt>
                <c:pt idx="11">
                  <c:v>43383.0</c:v>
                </c:pt>
                <c:pt idx="12">
                  <c:v>43384.0</c:v>
                </c:pt>
                <c:pt idx="13">
                  <c:v>43385.0</c:v>
                </c:pt>
                <c:pt idx="14">
                  <c:v>43386.0</c:v>
                </c:pt>
                <c:pt idx="15">
                  <c:v>43387.0</c:v>
                </c:pt>
                <c:pt idx="18">
                  <c:v>43388.0</c:v>
                </c:pt>
                <c:pt idx="19">
                  <c:v>43389.0</c:v>
                </c:pt>
                <c:pt idx="20">
                  <c:v>43390.0</c:v>
                </c:pt>
                <c:pt idx="21">
                  <c:v>43391.0</c:v>
                </c:pt>
                <c:pt idx="22">
                  <c:v>43392.0</c:v>
                </c:pt>
                <c:pt idx="23">
                  <c:v>43393.0</c:v>
                </c:pt>
                <c:pt idx="24">
                  <c:v>43394.0</c:v>
                </c:pt>
                <c:pt idx="27">
                  <c:v>43395.0</c:v>
                </c:pt>
                <c:pt idx="28">
                  <c:v>43396.0</c:v>
                </c:pt>
                <c:pt idx="29">
                  <c:v>43397.0</c:v>
                </c:pt>
                <c:pt idx="30">
                  <c:v>43398.0</c:v>
                </c:pt>
                <c:pt idx="31">
                  <c:v>43399.0</c:v>
                </c:pt>
                <c:pt idx="32">
                  <c:v>43400.0</c:v>
                </c:pt>
                <c:pt idx="33">
                  <c:v>43401.0</c:v>
                </c:pt>
                <c:pt idx="36">
                  <c:v>43402.0</c:v>
                </c:pt>
                <c:pt idx="37">
                  <c:v>43403.0</c:v>
                </c:pt>
                <c:pt idx="38">
                  <c:v>43404.0</c:v>
                </c:pt>
              </c:numCache>
            </c:numRef>
          </c:cat>
          <c:val>
            <c:numRef>
              <c:f>OCT!$R$5:$R$43</c:f>
              <c:numCache>
                <c:formatCode>#,##0.0</c:formatCode>
                <c:ptCount val="3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1-224D-B3FF-1FB091341D5B}"/>
            </c:ext>
          </c:extLst>
        </c:ser>
        <c:ser>
          <c:idx val="1"/>
          <c:order val="1"/>
          <c:invertIfNegative val="0"/>
          <c:cat>
            <c:numRef>
              <c:f>OCT!$C$5:$C$43</c:f>
              <c:numCache>
                <c:formatCode>d;@</c:formatCode>
                <c:ptCount val="39"/>
                <c:pt idx="0">
                  <c:v>43374.0</c:v>
                </c:pt>
                <c:pt idx="1">
                  <c:v>43375.0</c:v>
                </c:pt>
                <c:pt idx="2">
                  <c:v>43376.0</c:v>
                </c:pt>
                <c:pt idx="3">
                  <c:v>43377.0</c:v>
                </c:pt>
                <c:pt idx="4">
                  <c:v>43378.0</c:v>
                </c:pt>
                <c:pt idx="5">
                  <c:v>43379.0</c:v>
                </c:pt>
                <c:pt idx="6">
                  <c:v>43380.0</c:v>
                </c:pt>
                <c:pt idx="9">
                  <c:v>43381.0</c:v>
                </c:pt>
                <c:pt idx="10">
                  <c:v>43382.0</c:v>
                </c:pt>
                <c:pt idx="11">
                  <c:v>43383.0</c:v>
                </c:pt>
                <c:pt idx="12">
                  <c:v>43384.0</c:v>
                </c:pt>
                <c:pt idx="13">
                  <c:v>43385.0</c:v>
                </c:pt>
                <c:pt idx="14">
                  <c:v>43386.0</c:v>
                </c:pt>
                <c:pt idx="15">
                  <c:v>43387.0</c:v>
                </c:pt>
                <c:pt idx="18">
                  <c:v>43388.0</c:v>
                </c:pt>
                <c:pt idx="19">
                  <c:v>43389.0</c:v>
                </c:pt>
                <c:pt idx="20">
                  <c:v>43390.0</c:v>
                </c:pt>
                <c:pt idx="21">
                  <c:v>43391.0</c:v>
                </c:pt>
                <c:pt idx="22">
                  <c:v>43392.0</c:v>
                </c:pt>
                <c:pt idx="23">
                  <c:v>43393.0</c:v>
                </c:pt>
                <c:pt idx="24">
                  <c:v>43394.0</c:v>
                </c:pt>
                <c:pt idx="27">
                  <c:v>43395.0</c:v>
                </c:pt>
                <c:pt idx="28">
                  <c:v>43396.0</c:v>
                </c:pt>
                <c:pt idx="29">
                  <c:v>43397.0</c:v>
                </c:pt>
                <c:pt idx="30">
                  <c:v>43398.0</c:v>
                </c:pt>
                <c:pt idx="31">
                  <c:v>43399.0</c:v>
                </c:pt>
                <c:pt idx="32">
                  <c:v>43400.0</c:v>
                </c:pt>
                <c:pt idx="33">
                  <c:v>43401.0</c:v>
                </c:pt>
                <c:pt idx="36">
                  <c:v>43402.0</c:v>
                </c:pt>
                <c:pt idx="37">
                  <c:v>43403.0</c:v>
                </c:pt>
                <c:pt idx="38">
                  <c:v>43404.0</c:v>
                </c:pt>
              </c:numCache>
            </c:numRef>
          </c:cat>
          <c:val>
            <c:numRef>
              <c:f>OCT!$T$5:$T$43</c:f>
              <c:numCache>
                <c:formatCode>#,##0.0</c:formatCode>
                <c:ptCount val="3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61-224D-B3FF-1FB091341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312552"/>
        <c:axId val="-2048070056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OCT!$C$5:$C$43</c:f>
              <c:numCache>
                <c:formatCode>d;@</c:formatCode>
                <c:ptCount val="39"/>
                <c:pt idx="0">
                  <c:v>43374.0</c:v>
                </c:pt>
                <c:pt idx="1">
                  <c:v>43375.0</c:v>
                </c:pt>
                <c:pt idx="2">
                  <c:v>43376.0</c:v>
                </c:pt>
                <c:pt idx="3">
                  <c:v>43377.0</c:v>
                </c:pt>
                <c:pt idx="4">
                  <c:v>43378.0</c:v>
                </c:pt>
                <c:pt idx="5">
                  <c:v>43379.0</c:v>
                </c:pt>
                <c:pt idx="6">
                  <c:v>43380.0</c:v>
                </c:pt>
                <c:pt idx="9">
                  <c:v>43381.0</c:v>
                </c:pt>
                <c:pt idx="10">
                  <c:v>43382.0</c:v>
                </c:pt>
                <c:pt idx="11">
                  <c:v>43383.0</c:v>
                </c:pt>
                <c:pt idx="12">
                  <c:v>43384.0</c:v>
                </c:pt>
                <c:pt idx="13">
                  <c:v>43385.0</c:v>
                </c:pt>
                <c:pt idx="14">
                  <c:v>43386.0</c:v>
                </c:pt>
                <c:pt idx="15">
                  <c:v>43387.0</c:v>
                </c:pt>
                <c:pt idx="18">
                  <c:v>43388.0</c:v>
                </c:pt>
                <c:pt idx="19">
                  <c:v>43389.0</c:v>
                </c:pt>
                <c:pt idx="20">
                  <c:v>43390.0</c:v>
                </c:pt>
                <c:pt idx="21">
                  <c:v>43391.0</c:v>
                </c:pt>
                <c:pt idx="22">
                  <c:v>43392.0</c:v>
                </c:pt>
                <c:pt idx="23">
                  <c:v>43393.0</c:v>
                </c:pt>
                <c:pt idx="24">
                  <c:v>43394.0</c:v>
                </c:pt>
                <c:pt idx="27">
                  <c:v>43395.0</c:v>
                </c:pt>
                <c:pt idx="28">
                  <c:v>43396.0</c:v>
                </c:pt>
                <c:pt idx="29">
                  <c:v>43397.0</c:v>
                </c:pt>
                <c:pt idx="30">
                  <c:v>43398.0</c:v>
                </c:pt>
                <c:pt idx="31">
                  <c:v>43399.0</c:v>
                </c:pt>
                <c:pt idx="32">
                  <c:v>43400.0</c:v>
                </c:pt>
                <c:pt idx="33">
                  <c:v>43401.0</c:v>
                </c:pt>
                <c:pt idx="36">
                  <c:v>43402.0</c:v>
                </c:pt>
                <c:pt idx="37">
                  <c:v>43403.0</c:v>
                </c:pt>
                <c:pt idx="38">
                  <c:v>43404.0</c:v>
                </c:pt>
              </c:numCache>
            </c:numRef>
          </c:cat>
          <c:val>
            <c:numRef>
              <c:f>OCT!$U$5:$U$43</c:f>
              <c:numCache>
                <c:formatCode>#,##0.0</c:formatCode>
                <c:ptCount val="3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61-224D-B3FF-1FB091341D5B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OCT!$C$5:$C$43</c:f>
              <c:numCache>
                <c:formatCode>d;@</c:formatCode>
                <c:ptCount val="39"/>
                <c:pt idx="0">
                  <c:v>43374.0</c:v>
                </c:pt>
                <c:pt idx="1">
                  <c:v>43375.0</c:v>
                </c:pt>
                <c:pt idx="2">
                  <c:v>43376.0</c:v>
                </c:pt>
                <c:pt idx="3">
                  <c:v>43377.0</c:v>
                </c:pt>
                <c:pt idx="4">
                  <c:v>43378.0</c:v>
                </c:pt>
                <c:pt idx="5">
                  <c:v>43379.0</c:v>
                </c:pt>
                <c:pt idx="6">
                  <c:v>43380.0</c:v>
                </c:pt>
                <c:pt idx="9">
                  <c:v>43381.0</c:v>
                </c:pt>
                <c:pt idx="10">
                  <c:v>43382.0</c:v>
                </c:pt>
                <c:pt idx="11">
                  <c:v>43383.0</c:v>
                </c:pt>
                <c:pt idx="12">
                  <c:v>43384.0</c:v>
                </c:pt>
                <c:pt idx="13">
                  <c:v>43385.0</c:v>
                </c:pt>
                <c:pt idx="14">
                  <c:v>43386.0</c:v>
                </c:pt>
                <c:pt idx="15">
                  <c:v>43387.0</c:v>
                </c:pt>
                <c:pt idx="18">
                  <c:v>43388.0</c:v>
                </c:pt>
                <c:pt idx="19">
                  <c:v>43389.0</c:v>
                </c:pt>
                <c:pt idx="20">
                  <c:v>43390.0</c:v>
                </c:pt>
                <c:pt idx="21">
                  <c:v>43391.0</c:v>
                </c:pt>
                <c:pt idx="22">
                  <c:v>43392.0</c:v>
                </c:pt>
                <c:pt idx="23">
                  <c:v>43393.0</c:v>
                </c:pt>
                <c:pt idx="24">
                  <c:v>43394.0</c:v>
                </c:pt>
                <c:pt idx="27">
                  <c:v>43395.0</c:v>
                </c:pt>
                <c:pt idx="28">
                  <c:v>43396.0</c:v>
                </c:pt>
                <c:pt idx="29">
                  <c:v>43397.0</c:v>
                </c:pt>
                <c:pt idx="30">
                  <c:v>43398.0</c:v>
                </c:pt>
                <c:pt idx="31">
                  <c:v>43399.0</c:v>
                </c:pt>
                <c:pt idx="32">
                  <c:v>43400.0</c:v>
                </c:pt>
                <c:pt idx="33">
                  <c:v>43401.0</c:v>
                </c:pt>
                <c:pt idx="36">
                  <c:v>43402.0</c:v>
                </c:pt>
                <c:pt idx="37">
                  <c:v>43403.0</c:v>
                </c:pt>
                <c:pt idx="38">
                  <c:v>43404.0</c:v>
                </c:pt>
              </c:numCache>
            </c:numRef>
          </c:cat>
          <c:val>
            <c:numRef>
              <c:f>OCT!$V$5:$V$43</c:f>
              <c:numCache>
                <c:formatCode>#,##0.00</c:formatCode>
                <c:ptCount val="3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61-224D-B3FF-1FB091341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1812210408"/>
        <c:axId val="1812601160"/>
      </c:barChart>
      <c:dateAx>
        <c:axId val="1812312552"/>
        <c:scaling>
          <c:orientation val="minMax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-2048070056"/>
        <c:crosses val="autoZero"/>
        <c:auto val="1"/>
        <c:lblOffset val="100"/>
        <c:baseTimeUnit val="days"/>
      </c:dateAx>
      <c:valAx>
        <c:axId val="-2048070056"/>
        <c:scaling>
          <c:orientation val="minMax"/>
          <c:min val="0.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1812312552"/>
        <c:crosses val="autoZero"/>
        <c:crossBetween val="between"/>
      </c:valAx>
      <c:valAx>
        <c:axId val="1812601160"/>
        <c:scaling>
          <c:orientation val="minMax"/>
          <c:max val="6.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1812210408"/>
        <c:crosses val="max"/>
        <c:crossBetween val="between"/>
      </c:valAx>
      <c:dateAx>
        <c:axId val="1812210408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1812601160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"/>
          <c:y val="0.016100445578174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37398098378587"/>
          <c:y val="0.197282609058995"/>
          <c:w val="0.863599047286655"/>
          <c:h val="0.70829764944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OCT!$O$53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OCT!$P$52:$V$52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OCT!$P$53:$V$53</c:f>
              <c:numCache>
                <c:formatCode>General</c:formatCode>
                <c:ptCount val="7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4.0</c:v>
                </c:pt>
                <c:pt idx="4">
                  <c:v>4.0</c:v>
                </c:pt>
                <c:pt idx="5">
                  <c:v>4.0</c:v>
                </c:pt>
                <c:pt idx="6">
                  <c:v>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A3-0940-B86E-B893714919B3}"/>
            </c:ext>
          </c:extLst>
        </c:ser>
        <c:ser>
          <c:idx val="1"/>
          <c:order val="1"/>
          <c:tx>
            <c:strRef>
              <c:f>OCT!$O$54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OCT!$P$52:$V$52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OCT!$P$54:$V$54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A3-0940-B86E-B893714919B3}"/>
            </c:ext>
          </c:extLst>
        </c:ser>
        <c:ser>
          <c:idx val="2"/>
          <c:order val="2"/>
          <c:tx>
            <c:strRef>
              <c:f>OCT!$O$55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OCT!$P$52:$V$52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OCT!$P$55:$V$55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A3-0940-B86E-B893714919B3}"/>
            </c:ext>
          </c:extLst>
        </c:ser>
        <c:ser>
          <c:idx val="4"/>
          <c:order val="3"/>
          <c:tx>
            <c:strRef>
              <c:f>OCT!$O$56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OCT!$P$52:$V$52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OCT!$P$56:$V$56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A3-0940-B86E-B893714919B3}"/>
            </c:ext>
          </c:extLst>
        </c:ser>
        <c:ser>
          <c:idx val="6"/>
          <c:order val="4"/>
          <c:tx>
            <c:strRef>
              <c:f>OCT!$O$59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OCT!$P$52:$V$52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OCT!$P$59:$V$59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A3-0940-B86E-B89371491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7954424"/>
        <c:axId val="1812266808"/>
      </c:barChart>
      <c:catAx>
        <c:axId val="-2047954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812266808"/>
        <c:crosses val="autoZero"/>
        <c:auto val="0"/>
        <c:lblAlgn val="ctr"/>
        <c:lblOffset val="100"/>
        <c:noMultiLvlLbl val="0"/>
      </c:catAx>
      <c:valAx>
        <c:axId val="1812266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-2047954424"/>
        <c:crosses val="autoZero"/>
        <c:crossBetween val="between"/>
        <c:majorUnit val="1.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"/>
          <c:w val="0.852257405751388"/>
          <c:h val="0.0871063201234685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 monthly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  date</a:t>
            </a:r>
          </a:p>
        </c:rich>
      </c:tx>
      <c:layout>
        <c:manualLayout>
          <c:xMode val="edge"/>
          <c:yMode val="edge"/>
          <c:x val="0.120562605111022"/>
          <c:y val="0.32664719974798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982871397215672"/>
          <c:y val="0.0609140180360491"/>
          <c:w val="0.890845181904938"/>
          <c:h val="0.864771029434899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NOV!$C$7:$C$45</c:f>
              <c:numCache>
                <c:formatCode>d;@</c:formatCode>
                <c:ptCount val="39"/>
                <c:pt idx="0">
                  <c:v>43404.0</c:v>
                </c:pt>
                <c:pt idx="1">
                  <c:v>43405.0</c:v>
                </c:pt>
                <c:pt idx="2">
                  <c:v>43406.0</c:v>
                </c:pt>
                <c:pt idx="3">
                  <c:v>43407.0</c:v>
                </c:pt>
                <c:pt idx="4">
                  <c:v>43408.0</c:v>
                </c:pt>
                <c:pt idx="7">
                  <c:v>43409.0</c:v>
                </c:pt>
                <c:pt idx="8">
                  <c:v>43410.0</c:v>
                </c:pt>
                <c:pt idx="9">
                  <c:v>43411.0</c:v>
                </c:pt>
                <c:pt idx="10">
                  <c:v>43412.0</c:v>
                </c:pt>
                <c:pt idx="11">
                  <c:v>43413.0</c:v>
                </c:pt>
                <c:pt idx="12">
                  <c:v>43414.0</c:v>
                </c:pt>
                <c:pt idx="13">
                  <c:v>43415.0</c:v>
                </c:pt>
                <c:pt idx="16">
                  <c:v>43416.0</c:v>
                </c:pt>
                <c:pt idx="17">
                  <c:v>43417.0</c:v>
                </c:pt>
                <c:pt idx="18">
                  <c:v>43418.0</c:v>
                </c:pt>
                <c:pt idx="19">
                  <c:v>43419.0</c:v>
                </c:pt>
                <c:pt idx="20">
                  <c:v>43420.0</c:v>
                </c:pt>
                <c:pt idx="21">
                  <c:v>43421.0</c:v>
                </c:pt>
                <c:pt idx="22">
                  <c:v>43422.0</c:v>
                </c:pt>
                <c:pt idx="25">
                  <c:v>43423.0</c:v>
                </c:pt>
                <c:pt idx="26">
                  <c:v>43424.0</c:v>
                </c:pt>
                <c:pt idx="27">
                  <c:v>43425.0</c:v>
                </c:pt>
                <c:pt idx="28">
                  <c:v>43426.0</c:v>
                </c:pt>
                <c:pt idx="29">
                  <c:v>43427.0</c:v>
                </c:pt>
                <c:pt idx="30">
                  <c:v>43428.0</c:v>
                </c:pt>
                <c:pt idx="31">
                  <c:v>43429.0</c:v>
                </c:pt>
                <c:pt idx="34">
                  <c:v>43430.0</c:v>
                </c:pt>
                <c:pt idx="35">
                  <c:v>43431.0</c:v>
                </c:pt>
                <c:pt idx="36">
                  <c:v>43432.0</c:v>
                </c:pt>
                <c:pt idx="37">
                  <c:v>43433.0</c:v>
                </c:pt>
                <c:pt idx="38">
                  <c:v>43434.0</c:v>
                </c:pt>
              </c:numCache>
            </c:numRef>
          </c:cat>
          <c:val>
            <c:numRef>
              <c:f>NOV!$Q$7:$Q$45</c:f>
              <c:numCache>
                <c:formatCode>#,##0.0</c:formatCode>
                <c:ptCount val="39"/>
                <c:pt idx="0">
                  <c:v>179.5080017363269</c:v>
                </c:pt>
                <c:pt idx="1">
                  <c:v>179.5080017363269</c:v>
                </c:pt>
                <c:pt idx="2">
                  <c:v>179.5080017363269</c:v>
                </c:pt>
                <c:pt idx="3">
                  <c:v>179.5080017363269</c:v>
                </c:pt>
                <c:pt idx="4">
                  <c:v>179.5080017363269</c:v>
                </c:pt>
                <c:pt idx="5">
                  <c:v>0.0</c:v>
                </c:pt>
                <c:pt idx="6">
                  <c:v>0.0</c:v>
                </c:pt>
                <c:pt idx="7">
                  <c:v>179.5080017363269</c:v>
                </c:pt>
                <c:pt idx="8">
                  <c:v>179.5080017363269</c:v>
                </c:pt>
                <c:pt idx="9">
                  <c:v>179.5080017363269</c:v>
                </c:pt>
                <c:pt idx="10">
                  <c:v>179.5080017363269</c:v>
                </c:pt>
                <c:pt idx="11">
                  <c:v>179.5080017363269</c:v>
                </c:pt>
                <c:pt idx="12">
                  <c:v>179.5080017363269</c:v>
                </c:pt>
                <c:pt idx="13">
                  <c:v>179.5080017363269</c:v>
                </c:pt>
                <c:pt idx="14">
                  <c:v>0.0</c:v>
                </c:pt>
                <c:pt idx="15">
                  <c:v>0.0</c:v>
                </c:pt>
                <c:pt idx="16">
                  <c:v>179.5080017363269</c:v>
                </c:pt>
                <c:pt idx="17">
                  <c:v>179.5080017363269</c:v>
                </c:pt>
                <c:pt idx="18">
                  <c:v>179.5080017363269</c:v>
                </c:pt>
                <c:pt idx="19">
                  <c:v>179.5080017363269</c:v>
                </c:pt>
                <c:pt idx="20">
                  <c:v>179.5080017363269</c:v>
                </c:pt>
                <c:pt idx="21">
                  <c:v>179.5080017363269</c:v>
                </c:pt>
                <c:pt idx="22">
                  <c:v>179.5080017363269</c:v>
                </c:pt>
                <c:pt idx="23">
                  <c:v>0.0</c:v>
                </c:pt>
                <c:pt idx="24">
                  <c:v>0.0</c:v>
                </c:pt>
                <c:pt idx="25">
                  <c:v>179.5080017363269</c:v>
                </c:pt>
                <c:pt idx="26">
                  <c:v>179.5080017363269</c:v>
                </c:pt>
                <c:pt idx="27">
                  <c:v>179.5080017363269</c:v>
                </c:pt>
                <c:pt idx="28">
                  <c:v>179.5080017363269</c:v>
                </c:pt>
                <c:pt idx="29">
                  <c:v>179.5080017363269</c:v>
                </c:pt>
                <c:pt idx="30">
                  <c:v>179.5080017363269</c:v>
                </c:pt>
                <c:pt idx="31">
                  <c:v>179.5080017363269</c:v>
                </c:pt>
                <c:pt idx="32">
                  <c:v>0.0</c:v>
                </c:pt>
                <c:pt idx="33">
                  <c:v>0.0</c:v>
                </c:pt>
                <c:pt idx="34">
                  <c:v>179.5080017363269</c:v>
                </c:pt>
                <c:pt idx="35">
                  <c:v>179.5080017363269</c:v>
                </c:pt>
                <c:pt idx="36">
                  <c:v>179.5080017363269</c:v>
                </c:pt>
                <c:pt idx="37">
                  <c:v>179.5080017363269</c:v>
                </c:pt>
                <c:pt idx="38">
                  <c:v>179.5080017363269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08-C944-AEF2-D9DCA0BCCC0C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NOV!$C$7:$C$45</c:f>
              <c:numCache>
                <c:formatCode>d;@</c:formatCode>
                <c:ptCount val="39"/>
                <c:pt idx="0">
                  <c:v>43404.0</c:v>
                </c:pt>
                <c:pt idx="1">
                  <c:v>43405.0</c:v>
                </c:pt>
                <c:pt idx="2">
                  <c:v>43406.0</c:v>
                </c:pt>
                <c:pt idx="3">
                  <c:v>43407.0</c:v>
                </c:pt>
                <c:pt idx="4">
                  <c:v>43408.0</c:v>
                </c:pt>
                <c:pt idx="7">
                  <c:v>43409.0</c:v>
                </c:pt>
                <c:pt idx="8">
                  <c:v>43410.0</c:v>
                </c:pt>
                <c:pt idx="9">
                  <c:v>43411.0</c:v>
                </c:pt>
                <c:pt idx="10">
                  <c:v>43412.0</c:v>
                </c:pt>
                <c:pt idx="11">
                  <c:v>43413.0</c:v>
                </c:pt>
                <c:pt idx="12">
                  <c:v>43414.0</c:v>
                </c:pt>
                <c:pt idx="13">
                  <c:v>43415.0</c:v>
                </c:pt>
                <c:pt idx="16">
                  <c:v>43416.0</c:v>
                </c:pt>
                <c:pt idx="17">
                  <c:v>43417.0</c:v>
                </c:pt>
                <c:pt idx="18">
                  <c:v>43418.0</c:v>
                </c:pt>
                <c:pt idx="19">
                  <c:v>43419.0</c:v>
                </c:pt>
                <c:pt idx="20">
                  <c:v>43420.0</c:v>
                </c:pt>
                <c:pt idx="21">
                  <c:v>43421.0</c:v>
                </c:pt>
                <c:pt idx="22">
                  <c:v>43422.0</c:v>
                </c:pt>
                <c:pt idx="25">
                  <c:v>43423.0</c:v>
                </c:pt>
                <c:pt idx="26">
                  <c:v>43424.0</c:v>
                </c:pt>
                <c:pt idx="27">
                  <c:v>43425.0</c:v>
                </c:pt>
                <c:pt idx="28">
                  <c:v>43426.0</c:v>
                </c:pt>
                <c:pt idx="29">
                  <c:v>43427.0</c:v>
                </c:pt>
                <c:pt idx="30">
                  <c:v>43428.0</c:v>
                </c:pt>
                <c:pt idx="31">
                  <c:v>43429.0</c:v>
                </c:pt>
                <c:pt idx="34">
                  <c:v>43430.0</c:v>
                </c:pt>
                <c:pt idx="35">
                  <c:v>43431.0</c:v>
                </c:pt>
                <c:pt idx="36">
                  <c:v>43432.0</c:v>
                </c:pt>
                <c:pt idx="37">
                  <c:v>43433.0</c:v>
                </c:pt>
                <c:pt idx="38">
                  <c:v>43434.0</c:v>
                </c:pt>
              </c:numCache>
            </c:numRef>
          </c:cat>
          <c:val>
            <c:numRef>
              <c:f>NOV!$AB$7:$AB$45</c:f>
              <c:numCache>
                <c:formatCode>#,##0.0</c:formatCode>
                <c:ptCount val="3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08-C944-AEF2-D9DCA0BCC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650872"/>
        <c:axId val="1845644376"/>
      </c:lineChart>
      <c:dateAx>
        <c:axId val="1845650872"/>
        <c:scaling>
          <c:orientation val="minMax"/>
          <c:max val="43434.0"/>
          <c:min val="43404.0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845644376"/>
        <c:crosses val="autoZero"/>
        <c:auto val="1"/>
        <c:lblOffset val="100"/>
        <c:baseTimeUnit val="days"/>
      </c:dateAx>
      <c:valAx>
        <c:axId val="1845644376"/>
        <c:scaling>
          <c:orientation val="minMax"/>
          <c:min val="0.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845650872"/>
        <c:crossesAt val="43404.0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1505191362717"/>
          <c:y val="0.251853859212731"/>
          <c:w val="0.865392940718945"/>
          <c:h val="0.6448622676745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NOV!$C$8:$C$45</c:f>
              <c:numCache>
                <c:formatCode>d;@</c:formatCode>
                <c:ptCount val="38"/>
                <c:pt idx="0">
                  <c:v>43405.0</c:v>
                </c:pt>
                <c:pt idx="1">
                  <c:v>43406.0</c:v>
                </c:pt>
                <c:pt idx="2">
                  <c:v>43407.0</c:v>
                </c:pt>
                <c:pt idx="3">
                  <c:v>43408.0</c:v>
                </c:pt>
                <c:pt idx="6">
                  <c:v>43409.0</c:v>
                </c:pt>
                <c:pt idx="7">
                  <c:v>43410.0</c:v>
                </c:pt>
                <c:pt idx="8">
                  <c:v>43411.0</c:v>
                </c:pt>
                <c:pt idx="9">
                  <c:v>43412.0</c:v>
                </c:pt>
                <c:pt idx="10">
                  <c:v>43413.0</c:v>
                </c:pt>
                <c:pt idx="11">
                  <c:v>43414.0</c:v>
                </c:pt>
                <c:pt idx="12">
                  <c:v>43415.0</c:v>
                </c:pt>
                <c:pt idx="15">
                  <c:v>43416.0</c:v>
                </c:pt>
                <c:pt idx="16">
                  <c:v>43417.0</c:v>
                </c:pt>
                <c:pt idx="17">
                  <c:v>43418.0</c:v>
                </c:pt>
                <c:pt idx="18">
                  <c:v>43419.0</c:v>
                </c:pt>
                <c:pt idx="19">
                  <c:v>43420.0</c:v>
                </c:pt>
                <c:pt idx="20">
                  <c:v>43421.0</c:v>
                </c:pt>
                <c:pt idx="21">
                  <c:v>43422.0</c:v>
                </c:pt>
                <c:pt idx="24">
                  <c:v>43423.0</c:v>
                </c:pt>
                <c:pt idx="25">
                  <c:v>43424.0</c:v>
                </c:pt>
                <c:pt idx="26">
                  <c:v>43425.0</c:v>
                </c:pt>
                <c:pt idx="27">
                  <c:v>43426.0</c:v>
                </c:pt>
                <c:pt idx="28">
                  <c:v>43427.0</c:v>
                </c:pt>
                <c:pt idx="29">
                  <c:v>43428.0</c:v>
                </c:pt>
                <c:pt idx="30">
                  <c:v>43429.0</c:v>
                </c:pt>
                <c:pt idx="33">
                  <c:v>43430.0</c:v>
                </c:pt>
                <c:pt idx="34">
                  <c:v>43431.0</c:v>
                </c:pt>
                <c:pt idx="35">
                  <c:v>43432.0</c:v>
                </c:pt>
                <c:pt idx="36">
                  <c:v>43433.0</c:v>
                </c:pt>
                <c:pt idx="37">
                  <c:v>43434.0</c:v>
                </c:pt>
              </c:numCache>
            </c:numRef>
          </c:cat>
          <c:val>
            <c:numRef>
              <c:f>NOV!$R$8:$R$45</c:f>
              <c:numCache>
                <c:formatCode>#,##0.0</c:formatCode>
                <c:ptCount val="3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16-3340-B42D-8DD80422666C}"/>
            </c:ext>
          </c:extLst>
        </c:ser>
        <c:ser>
          <c:idx val="1"/>
          <c:order val="1"/>
          <c:invertIfNegative val="0"/>
          <c:cat>
            <c:numRef>
              <c:f>NOV!$C$8:$C$45</c:f>
              <c:numCache>
                <c:formatCode>d;@</c:formatCode>
                <c:ptCount val="38"/>
                <c:pt idx="0">
                  <c:v>43405.0</c:v>
                </c:pt>
                <c:pt idx="1">
                  <c:v>43406.0</c:v>
                </c:pt>
                <c:pt idx="2">
                  <c:v>43407.0</c:v>
                </c:pt>
                <c:pt idx="3">
                  <c:v>43408.0</c:v>
                </c:pt>
                <c:pt idx="6">
                  <c:v>43409.0</c:v>
                </c:pt>
                <c:pt idx="7">
                  <c:v>43410.0</c:v>
                </c:pt>
                <c:pt idx="8">
                  <c:v>43411.0</c:v>
                </c:pt>
                <c:pt idx="9">
                  <c:v>43412.0</c:v>
                </c:pt>
                <c:pt idx="10">
                  <c:v>43413.0</c:v>
                </c:pt>
                <c:pt idx="11">
                  <c:v>43414.0</c:v>
                </c:pt>
                <c:pt idx="12">
                  <c:v>43415.0</c:v>
                </c:pt>
                <c:pt idx="15">
                  <c:v>43416.0</c:v>
                </c:pt>
                <c:pt idx="16">
                  <c:v>43417.0</c:v>
                </c:pt>
                <c:pt idx="17">
                  <c:v>43418.0</c:v>
                </c:pt>
                <c:pt idx="18">
                  <c:v>43419.0</c:v>
                </c:pt>
                <c:pt idx="19">
                  <c:v>43420.0</c:v>
                </c:pt>
                <c:pt idx="20">
                  <c:v>43421.0</c:v>
                </c:pt>
                <c:pt idx="21">
                  <c:v>43422.0</c:v>
                </c:pt>
                <c:pt idx="24">
                  <c:v>43423.0</c:v>
                </c:pt>
                <c:pt idx="25">
                  <c:v>43424.0</c:v>
                </c:pt>
                <c:pt idx="26">
                  <c:v>43425.0</c:v>
                </c:pt>
                <c:pt idx="27">
                  <c:v>43426.0</c:v>
                </c:pt>
                <c:pt idx="28">
                  <c:v>43427.0</c:v>
                </c:pt>
                <c:pt idx="29">
                  <c:v>43428.0</c:v>
                </c:pt>
                <c:pt idx="30">
                  <c:v>43429.0</c:v>
                </c:pt>
                <c:pt idx="33">
                  <c:v>43430.0</c:v>
                </c:pt>
                <c:pt idx="34">
                  <c:v>43431.0</c:v>
                </c:pt>
                <c:pt idx="35">
                  <c:v>43432.0</c:v>
                </c:pt>
                <c:pt idx="36">
                  <c:v>43433.0</c:v>
                </c:pt>
                <c:pt idx="37">
                  <c:v>43434.0</c:v>
                </c:pt>
              </c:numCache>
            </c:numRef>
          </c:cat>
          <c:val>
            <c:numRef>
              <c:f>NOV!$T$8:$T$45</c:f>
              <c:numCache>
                <c:formatCode>#,##0.0</c:formatCode>
                <c:ptCount val="3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16-3340-B42D-8DD804226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603288"/>
        <c:axId val="1845594472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NOV!$C$8:$C$45</c:f>
              <c:numCache>
                <c:formatCode>d;@</c:formatCode>
                <c:ptCount val="38"/>
                <c:pt idx="0">
                  <c:v>43405.0</c:v>
                </c:pt>
                <c:pt idx="1">
                  <c:v>43406.0</c:v>
                </c:pt>
                <c:pt idx="2">
                  <c:v>43407.0</c:v>
                </c:pt>
                <c:pt idx="3">
                  <c:v>43408.0</c:v>
                </c:pt>
                <c:pt idx="6">
                  <c:v>43409.0</c:v>
                </c:pt>
                <c:pt idx="7">
                  <c:v>43410.0</c:v>
                </c:pt>
                <c:pt idx="8">
                  <c:v>43411.0</c:v>
                </c:pt>
                <c:pt idx="9">
                  <c:v>43412.0</c:v>
                </c:pt>
                <c:pt idx="10">
                  <c:v>43413.0</c:v>
                </c:pt>
                <c:pt idx="11">
                  <c:v>43414.0</c:v>
                </c:pt>
                <c:pt idx="12">
                  <c:v>43415.0</c:v>
                </c:pt>
                <c:pt idx="15">
                  <c:v>43416.0</c:v>
                </c:pt>
                <c:pt idx="16">
                  <c:v>43417.0</c:v>
                </c:pt>
                <c:pt idx="17">
                  <c:v>43418.0</c:v>
                </c:pt>
                <c:pt idx="18">
                  <c:v>43419.0</c:v>
                </c:pt>
                <c:pt idx="19">
                  <c:v>43420.0</c:v>
                </c:pt>
                <c:pt idx="20">
                  <c:v>43421.0</c:v>
                </c:pt>
                <c:pt idx="21">
                  <c:v>43422.0</c:v>
                </c:pt>
                <c:pt idx="24">
                  <c:v>43423.0</c:v>
                </c:pt>
                <c:pt idx="25">
                  <c:v>43424.0</c:v>
                </c:pt>
                <c:pt idx="26">
                  <c:v>43425.0</c:v>
                </c:pt>
                <c:pt idx="27">
                  <c:v>43426.0</c:v>
                </c:pt>
                <c:pt idx="28">
                  <c:v>43427.0</c:v>
                </c:pt>
                <c:pt idx="29">
                  <c:v>43428.0</c:v>
                </c:pt>
                <c:pt idx="30">
                  <c:v>43429.0</c:v>
                </c:pt>
                <c:pt idx="33">
                  <c:v>43430.0</c:v>
                </c:pt>
                <c:pt idx="34">
                  <c:v>43431.0</c:v>
                </c:pt>
                <c:pt idx="35">
                  <c:v>43432.0</c:v>
                </c:pt>
                <c:pt idx="36">
                  <c:v>43433.0</c:v>
                </c:pt>
                <c:pt idx="37">
                  <c:v>43434.0</c:v>
                </c:pt>
              </c:numCache>
            </c:numRef>
          </c:cat>
          <c:val>
            <c:numRef>
              <c:f>NOV!$U$8:$U$45</c:f>
              <c:numCache>
                <c:formatCode>#,##0.0</c:formatCode>
                <c:ptCount val="3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16-3340-B42D-8DD80422666C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NOV!$C$8:$C$45</c:f>
              <c:numCache>
                <c:formatCode>d;@</c:formatCode>
                <c:ptCount val="38"/>
                <c:pt idx="0">
                  <c:v>43405.0</c:v>
                </c:pt>
                <c:pt idx="1">
                  <c:v>43406.0</c:v>
                </c:pt>
                <c:pt idx="2">
                  <c:v>43407.0</c:v>
                </c:pt>
                <c:pt idx="3">
                  <c:v>43408.0</c:v>
                </c:pt>
                <c:pt idx="6">
                  <c:v>43409.0</c:v>
                </c:pt>
                <c:pt idx="7">
                  <c:v>43410.0</c:v>
                </c:pt>
                <c:pt idx="8">
                  <c:v>43411.0</c:v>
                </c:pt>
                <c:pt idx="9">
                  <c:v>43412.0</c:v>
                </c:pt>
                <c:pt idx="10">
                  <c:v>43413.0</c:v>
                </c:pt>
                <c:pt idx="11">
                  <c:v>43414.0</c:v>
                </c:pt>
                <c:pt idx="12">
                  <c:v>43415.0</c:v>
                </c:pt>
                <c:pt idx="15">
                  <c:v>43416.0</c:v>
                </c:pt>
                <c:pt idx="16">
                  <c:v>43417.0</c:v>
                </c:pt>
                <c:pt idx="17">
                  <c:v>43418.0</c:v>
                </c:pt>
                <c:pt idx="18">
                  <c:v>43419.0</c:v>
                </c:pt>
                <c:pt idx="19">
                  <c:v>43420.0</c:v>
                </c:pt>
                <c:pt idx="20">
                  <c:v>43421.0</c:v>
                </c:pt>
                <c:pt idx="21">
                  <c:v>43422.0</c:v>
                </c:pt>
                <c:pt idx="24">
                  <c:v>43423.0</c:v>
                </c:pt>
                <c:pt idx="25">
                  <c:v>43424.0</c:v>
                </c:pt>
                <c:pt idx="26">
                  <c:v>43425.0</c:v>
                </c:pt>
                <c:pt idx="27">
                  <c:v>43426.0</c:v>
                </c:pt>
                <c:pt idx="28">
                  <c:v>43427.0</c:v>
                </c:pt>
                <c:pt idx="29">
                  <c:v>43428.0</c:v>
                </c:pt>
                <c:pt idx="30">
                  <c:v>43429.0</c:v>
                </c:pt>
                <c:pt idx="33">
                  <c:v>43430.0</c:v>
                </c:pt>
                <c:pt idx="34">
                  <c:v>43431.0</c:v>
                </c:pt>
                <c:pt idx="35">
                  <c:v>43432.0</c:v>
                </c:pt>
                <c:pt idx="36">
                  <c:v>43433.0</c:v>
                </c:pt>
                <c:pt idx="37">
                  <c:v>43434.0</c:v>
                </c:pt>
              </c:numCache>
            </c:numRef>
          </c:cat>
          <c:val>
            <c:numRef>
              <c:f>NOV!$V$8:$V$45</c:f>
              <c:numCache>
                <c:formatCode>#,##0.00</c:formatCode>
                <c:ptCount val="3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D16-3340-B42D-8DD804226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1845589720"/>
        <c:axId val="1845597448"/>
      </c:barChart>
      <c:dateAx>
        <c:axId val="1845603288"/>
        <c:scaling>
          <c:orientation val="minMax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845594472"/>
        <c:crosses val="autoZero"/>
        <c:auto val="1"/>
        <c:lblOffset val="100"/>
        <c:baseTimeUnit val="days"/>
      </c:dateAx>
      <c:valAx>
        <c:axId val="1845594472"/>
        <c:scaling>
          <c:orientation val="minMax"/>
          <c:min val="0.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1845603288"/>
        <c:crosses val="autoZero"/>
        <c:crossBetween val="between"/>
      </c:valAx>
      <c:valAx>
        <c:axId val="1845597448"/>
        <c:scaling>
          <c:orientation val="minMax"/>
          <c:max val="6.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1845589720"/>
        <c:crosses val="max"/>
        <c:crossBetween val="between"/>
      </c:valAx>
      <c:dateAx>
        <c:axId val="1845589720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1845597448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  <c:userShapes r:id="rId2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"/>
          <c:y val="0.016100445578174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37398098378587"/>
          <c:y val="0.197282609058995"/>
          <c:w val="0.863599047286655"/>
          <c:h val="0.70829764944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NOV!$P$52:$V$52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NOV!$P$53:$V$53</c:f>
              <c:numCache>
                <c:formatCode>General</c:formatCode>
                <c:ptCount val="7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  <c:pt idx="3">
                  <c:v>5.0</c:v>
                </c:pt>
                <c:pt idx="4">
                  <c:v>5.0</c:v>
                </c:pt>
                <c:pt idx="5">
                  <c:v>4.0</c:v>
                </c:pt>
                <c:pt idx="6">
                  <c:v>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7F-7046-96B9-43956FBC43A8}"/>
            </c:ext>
          </c:extLst>
        </c:ser>
        <c:ser>
          <c:idx val="1"/>
          <c:order val="1"/>
          <c:tx>
            <c:strRef>
              <c:f>NOV!$O$54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NOV!$P$52:$V$52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NOV!$P$54:$V$54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7F-7046-96B9-43956FBC43A8}"/>
            </c:ext>
          </c:extLst>
        </c:ser>
        <c:ser>
          <c:idx val="2"/>
          <c:order val="2"/>
          <c:tx>
            <c:strRef>
              <c:f>NOV!$O$55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NOV!$P$52:$V$52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NOV!$P$55:$V$55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7F-7046-96B9-43956FBC43A8}"/>
            </c:ext>
          </c:extLst>
        </c:ser>
        <c:ser>
          <c:idx val="4"/>
          <c:order val="3"/>
          <c:tx>
            <c:strRef>
              <c:f>NOV!$O$56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NOV!$P$52:$V$52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NOV!$P$56:$V$56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47F-7046-96B9-43956FBC43A8}"/>
            </c:ext>
          </c:extLst>
        </c:ser>
        <c:ser>
          <c:idx val="6"/>
          <c:order val="4"/>
          <c:tx>
            <c:strRef>
              <c:f>NOV!$O$59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NOV!$P$52:$V$52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NOV!$P$59:$V$59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47F-7046-96B9-43956FBC4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510008"/>
        <c:axId val="1845513096"/>
      </c:barChart>
      <c:catAx>
        <c:axId val="1845510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845513096"/>
        <c:crosses val="autoZero"/>
        <c:auto val="0"/>
        <c:lblAlgn val="ctr"/>
        <c:lblOffset val="100"/>
        <c:noMultiLvlLbl val="0"/>
      </c:catAx>
      <c:valAx>
        <c:axId val="1845513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845510008"/>
        <c:crosses val="autoZero"/>
        <c:crossBetween val="between"/>
        <c:majorUnit val="1.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"/>
          <c:w val="0.852257405751388"/>
          <c:h val="0.0871063201234685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 monthly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  date</a:t>
            </a:r>
          </a:p>
        </c:rich>
      </c:tx>
      <c:layout>
        <c:manualLayout>
          <c:xMode val="edge"/>
          <c:yMode val="edge"/>
          <c:x val="0.120562605111022"/>
          <c:y val="0.32664719974798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26638404702"/>
          <c:y val="0.0643208262079603"/>
          <c:w val="0.890845181904938"/>
          <c:h val="0.864771029434899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DEC!$C$9:$C$50</c:f>
              <c:numCache>
                <c:formatCode>d;@</c:formatCode>
                <c:ptCount val="42"/>
                <c:pt idx="0">
                  <c:v>43434.0</c:v>
                </c:pt>
                <c:pt idx="1">
                  <c:v>43435.0</c:v>
                </c:pt>
                <c:pt idx="2">
                  <c:v>43436.0</c:v>
                </c:pt>
                <c:pt idx="5">
                  <c:v>43437.0</c:v>
                </c:pt>
                <c:pt idx="6">
                  <c:v>43438.0</c:v>
                </c:pt>
                <c:pt idx="7">
                  <c:v>43439.0</c:v>
                </c:pt>
                <c:pt idx="8">
                  <c:v>43440.0</c:v>
                </c:pt>
                <c:pt idx="9">
                  <c:v>43441.0</c:v>
                </c:pt>
                <c:pt idx="10">
                  <c:v>43442.0</c:v>
                </c:pt>
                <c:pt idx="11">
                  <c:v>43443.0</c:v>
                </c:pt>
                <c:pt idx="14">
                  <c:v>43444.0</c:v>
                </c:pt>
                <c:pt idx="15">
                  <c:v>43445.0</c:v>
                </c:pt>
                <c:pt idx="16">
                  <c:v>43446.0</c:v>
                </c:pt>
                <c:pt idx="17">
                  <c:v>43447.0</c:v>
                </c:pt>
                <c:pt idx="18">
                  <c:v>43448.0</c:v>
                </c:pt>
                <c:pt idx="19">
                  <c:v>43449.0</c:v>
                </c:pt>
                <c:pt idx="20">
                  <c:v>43450.0</c:v>
                </c:pt>
                <c:pt idx="23">
                  <c:v>43451.0</c:v>
                </c:pt>
                <c:pt idx="24">
                  <c:v>43452.0</c:v>
                </c:pt>
                <c:pt idx="25">
                  <c:v>43453.0</c:v>
                </c:pt>
                <c:pt idx="26">
                  <c:v>43454.0</c:v>
                </c:pt>
                <c:pt idx="27">
                  <c:v>43455.0</c:v>
                </c:pt>
                <c:pt idx="28">
                  <c:v>43456.0</c:v>
                </c:pt>
                <c:pt idx="29">
                  <c:v>43457.0</c:v>
                </c:pt>
                <c:pt idx="32">
                  <c:v>43458.0</c:v>
                </c:pt>
                <c:pt idx="33">
                  <c:v>43459.0</c:v>
                </c:pt>
                <c:pt idx="34">
                  <c:v>43460.0</c:v>
                </c:pt>
                <c:pt idx="35">
                  <c:v>43461.0</c:v>
                </c:pt>
                <c:pt idx="36">
                  <c:v>43462.0</c:v>
                </c:pt>
                <c:pt idx="37">
                  <c:v>43463.0</c:v>
                </c:pt>
                <c:pt idx="38">
                  <c:v>43464.0</c:v>
                </c:pt>
                <c:pt idx="41">
                  <c:v>43465.0</c:v>
                </c:pt>
              </c:numCache>
            </c:numRef>
          </c:cat>
          <c:val>
            <c:numRef>
              <c:f>DEC!$Q$9:$Q$50</c:f>
              <c:numCache>
                <c:formatCode>#,##0.0</c:formatCode>
                <c:ptCount val="42"/>
                <c:pt idx="0">
                  <c:v>364.9993313191477</c:v>
                </c:pt>
                <c:pt idx="1">
                  <c:v>364.9993313191477</c:v>
                </c:pt>
                <c:pt idx="2">
                  <c:v>364.9993313191477</c:v>
                </c:pt>
                <c:pt idx="3">
                  <c:v>0.0</c:v>
                </c:pt>
                <c:pt idx="4">
                  <c:v>0.0</c:v>
                </c:pt>
                <c:pt idx="5">
                  <c:v>364.9993313191477</c:v>
                </c:pt>
                <c:pt idx="6">
                  <c:v>364.9993313191477</c:v>
                </c:pt>
                <c:pt idx="7">
                  <c:v>364.9993313191477</c:v>
                </c:pt>
                <c:pt idx="8">
                  <c:v>364.9993313191477</c:v>
                </c:pt>
                <c:pt idx="9">
                  <c:v>364.9993313191477</c:v>
                </c:pt>
                <c:pt idx="10">
                  <c:v>364.9993313191477</c:v>
                </c:pt>
                <c:pt idx="11">
                  <c:v>364.9993313191477</c:v>
                </c:pt>
                <c:pt idx="12">
                  <c:v>0.0</c:v>
                </c:pt>
                <c:pt idx="13">
                  <c:v>0.0</c:v>
                </c:pt>
                <c:pt idx="14">
                  <c:v>364.9993313191477</c:v>
                </c:pt>
                <c:pt idx="15">
                  <c:v>364.9993313191477</c:v>
                </c:pt>
                <c:pt idx="16">
                  <c:v>364.9993313191477</c:v>
                </c:pt>
                <c:pt idx="17">
                  <c:v>364.9993313191477</c:v>
                </c:pt>
                <c:pt idx="18">
                  <c:v>364.9993313191477</c:v>
                </c:pt>
                <c:pt idx="19">
                  <c:v>364.9993313191477</c:v>
                </c:pt>
                <c:pt idx="20">
                  <c:v>364.9993313191477</c:v>
                </c:pt>
                <c:pt idx="21">
                  <c:v>0.0</c:v>
                </c:pt>
                <c:pt idx="22">
                  <c:v>0.0</c:v>
                </c:pt>
                <c:pt idx="23">
                  <c:v>364.9993313191477</c:v>
                </c:pt>
                <c:pt idx="24">
                  <c:v>364.9993313191477</c:v>
                </c:pt>
                <c:pt idx="25">
                  <c:v>364.9993313191477</c:v>
                </c:pt>
                <c:pt idx="26">
                  <c:v>364.9993313191477</c:v>
                </c:pt>
                <c:pt idx="27">
                  <c:v>364.9993313191477</c:v>
                </c:pt>
                <c:pt idx="28">
                  <c:v>364.9993313191477</c:v>
                </c:pt>
                <c:pt idx="29">
                  <c:v>364.9993313191477</c:v>
                </c:pt>
                <c:pt idx="30">
                  <c:v>0.0</c:v>
                </c:pt>
                <c:pt idx="31">
                  <c:v>0.0</c:v>
                </c:pt>
                <c:pt idx="32">
                  <c:v>364.9993313191477</c:v>
                </c:pt>
                <c:pt idx="33">
                  <c:v>364.9993313191477</c:v>
                </c:pt>
                <c:pt idx="34">
                  <c:v>364.9993313191477</c:v>
                </c:pt>
                <c:pt idx="35">
                  <c:v>364.9993313191477</c:v>
                </c:pt>
                <c:pt idx="36">
                  <c:v>364.9993313191477</c:v>
                </c:pt>
                <c:pt idx="37">
                  <c:v>364.9993313191477</c:v>
                </c:pt>
                <c:pt idx="38">
                  <c:v>364.9993313191477</c:v>
                </c:pt>
                <c:pt idx="39">
                  <c:v>0.0</c:v>
                </c:pt>
                <c:pt idx="40">
                  <c:v>0.0</c:v>
                </c:pt>
                <c:pt idx="41">
                  <c:v>364.9993313191477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5F-A442-8C42-3390F770A968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DEC!$C$9:$C$50</c:f>
              <c:numCache>
                <c:formatCode>d;@</c:formatCode>
                <c:ptCount val="42"/>
                <c:pt idx="0">
                  <c:v>43434.0</c:v>
                </c:pt>
                <c:pt idx="1">
                  <c:v>43435.0</c:v>
                </c:pt>
                <c:pt idx="2">
                  <c:v>43436.0</c:v>
                </c:pt>
                <c:pt idx="5">
                  <c:v>43437.0</c:v>
                </c:pt>
                <c:pt idx="6">
                  <c:v>43438.0</c:v>
                </c:pt>
                <c:pt idx="7">
                  <c:v>43439.0</c:v>
                </c:pt>
                <c:pt idx="8">
                  <c:v>43440.0</c:v>
                </c:pt>
                <c:pt idx="9">
                  <c:v>43441.0</c:v>
                </c:pt>
                <c:pt idx="10">
                  <c:v>43442.0</c:v>
                </c:pt>
                <c:pt idx="11">
                  <c:v>43443.0</c:v>
                </c:pt>
                <c:pt idx="14">
                  <c:v>43444.0</c:v>
                </c:pt>
                <c:pt idx="15">
                  <c:v>43445.0</c:v>
                </c:pt>
                <c:pt idx="16">
                  <c:v>43446.0</c:v>
                </c:pt>
                <c:pt idx="17">
                  <c:v>43447.0</c:v>
                </c:pt>
                <c:pt idx="18">
                  <c:v>43448.0</c:v>
                </c:pt>
                <c:pt idx="19">
                  <c:v>43449.0</c:v>
                </c:pt>
                <c:pt idx="20">
                  <c:v>43450.0</c:v>
                </c:pt>
                <c:pt idx="23">
                  <c:v>43451.0</c:v>
                </c:pt>
                <c:pt idx="24">
                  <c:v>43452.0</c:v>
                </c:pt>
                <c:pt idx="25">
                  <c:v>43453.0</c:v>
                </c:pt>
                <c:pt idx="26">
                  <c:v>43454.0</c:v>
                </c:pt>
                <c:pt idx="27">
                  <c:v>43455.0</c:v>
                </c:pt>
                <c:pt idx="28">
                  <c:v>43456.0</c:v>
                </c:pt>
                <c:pt idx="29">
                  <c:v>43457.0</c:v>
                </c:pt>
                <c:pt idx="32">
                  <c:v>43458.0</c:v>
                </c:pt>
                <c:pt idx="33">
                  <c:v>43459.0</c:v>
                </c:pt>
                <c:pt idx="34">
                  <c:v>43460.0</c:v>
                </c:pt>
                <c:pt idx="35">
                  <c:v>43461.0</c:v>
                </c:pt>
                <c:pt idx="36">
                  <c:v>43462.0</c:v>
                </c:pt>
                <c:pt idx="37">
                  <c:v>43463.0</c:v>
                </c:pt>
                <c:pt idx="38">
                  <c:v>43464.0</c:v>
                </c:pt>
                <c:pt idx="41">
                  <c:v>43465.0</c:v>
                </c:pt>
              </c:numCache>
            </c:numRef>
          </c:cat>
          <c:val>
            <c:numRef>
              <c:f>DEC!$AB$9:$AB$50</c:f>
              <c:numCache>
                <c:formatCode>#,##0.0</c:formatCode>
                <c:ptCount val="4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5F-A442-8C42-3390F770A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376168"/>
        <c:axId val="1816242504"/>
      </c:lineChart>
      <c:dateAx>
        <c:axId val="1827376168"/>
        <c:scaling>
          <c:orientation val="minMax"/>
          <c:max val="43465.0"/>
          <c:min val="43434.0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816242504"/>
        <c:crosses val="autoZero"/>
        <c:auto val="1"/>
        <c:lblOffset val="100"/>
        <c:baseTimeUnit val="days"/>
      </c:dateAx>
      <c:valAx>
        <c:axId val="1816242504"/>
        <c:scaling>
          <c:orientation val="minMax"/>
          <c:min val="0.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827376168"/>
        <c:crossesAt val="43434.0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1505191362717"/>
          <c:y val="0.251853859212731"/>
          <c:w val="0.865392940718945"/>
          <c:h val="0.6448622676745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DEC!$C$10:$C$50</c:f>
              <c:numCache>
                <c:formatCode>d;@</c:formatCode>
                <c:ptCount val="41"/>
                <c:pt idx="0">
                  <c:v>43435.0</c:v>
                </c:pt>
                <c:pt idx="1">
                  <c:v>43436.0</c:v>
                </c:pt>
                <c:pt idx="4">
                  <c:v>43437.0</c:v>
                </c:pt>
                <c:pt idx="5">
                  <c:v>43438.0</c:v>
                </c:pt>
                <c:pt idx="6">
                  <c:v>43439.0</c:v>
                </c:pt>
                <c:pt idx="7">
                  <c:v>43440.0</c:v>
                </c:pt>
                <c:pt idx="8">
                  <c:v>43441.0</c:v>
                </c:pt>
                <c:pt idx="9">
                  <c:v>43442.0</c:v>
                </c:pt>
                <c:pt idx="10">
                  <c:v>43443.0</c:v>
                </c:pt>
                <c:pt idx="13">
                  <c:v>43444.0</c:v>
                </c:pt>
                <c:pt idx="14">
                  <c:v>43445.0</c:v>
                </c:pt>
                <c:pt idx="15">
                  <c:v>43446.0</c:v>
                </c:pt>
                <c:pt idx="16">
                  <c:v>43447.0</c:v>
                </c:pt>
                <c:pt idx="17">
                  <c:v>43448.0</c:v>
                </c:pt>
                <c:pt idx="18">
                  <c:v>43449.0</c:v>
                </c:pt>
                <c:pt idx="19">
                  <c:v>43450.0</c:v>
                </c:pt>
                <c:pt idx="22">
                  <c:v>43451.0</c:v>
                </c:pt>
                <c:pt idx="23">
                  <c:v>43452.0</c:v>
                </c:pt>
                <c:pt idx="24">
                  <c:v>43453.0</c:v>
                </c:pt>
                <c:pt idx="25">
                  <c:v>43454.0</c:v>
                </c:pt>
                <c:pt idx="26">
                  <c:v>43455.0</c:v>
                </c:pt>
                <c:pt idx="27">
                  <c:v>43456.0</c:v>
                </c:pt>
                <c:pt idx="28">
                  <c:v>43457.0</c:v>
                </c:pt>
                <c:pt idx="31">
                  <c:v>43458.0</c:v>
                </c:pt>
                <c:pt idx="32">
                  <c:v>43459.0</c:v>
                </c:pt>
                <c:pt idx="33">
                  <c:v>43460.0</c:v>
                </c:pt>
                <c:pt idx="34">
                  <c:v>43461.0</c:v>
                </c:pt>
                <c:pt idx="35">
                  <c:v>43462.0</c:v>
                </c:pt>
                <c:pt idx="36">
                  <c:v>43463.0</c:v>
                </c:pt>
                <c:pt idx="37">
                  <c:v>43464.0</c:v>
                </c:pt>
                <c:pt idx="40">
                  <c:v>43465.0</c:v>
                </c:pt>
              </c:numCache>
            </c:numRef>
          </c:cat>
          <c:val>
            <c:numRef>
              <c:f>DEC!$R$10:$R$50</c:f>
              <c:numCache>
                <c:formatCode>#,##0.0</c:formatCode>
                <c:ptCount val="41"/>
                <c:pt idx="0">
                  <c:v>0.0</c:v>
                </c:pt>
                <c:pt idx="1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4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1E-344F-BC10-5B3B1492AFD0}"/>
            </c:ext>
          </c:extLst>
        </c:ser>
        <c:ser>
          <c:idx val="1"/>
          <c:order val="1"/>
          <c:invertIfNegative val="0"/>
          <c:cat>
            <c:numRef>
              <c:f>DEC!$C$10:$C$50</c:f>
              <c:numCache>
                <c:formatCode>d;@</c:formatCode>
                <c:ptCount val="41"/>
                <c:pt idx="0">
                  <c:v>43435.0</c:v>
                </c:pt>
                <c:pt idx="1">
                  <c:v>43436.0</c:v>
                </c:pt>
                <c:pt idx="4">
                  <c:v>43437.0</c:v>
                </c:pt>
                <c:pt idx="5">
                  <c:v>43438.0</c:v>
                </c:pt>
                <c:pt idx="6">
                  <c:v>43439.0</c:v>
                </c:pt>
                <c:pt idx="7">
                  <c:v>43440.0</c:v>
                </c:pt>
                <c:pt idx="8">
                  <c:v>43441.0</c:v>
                </c:pt>
                <c:pt idx="9">
                  <c:v>43442.0</c:v>
                </c:pt>
                <c:pt idx="10">
                  <c:v>43443.0</c:v>
                </c:pt>
                <c:pt idx="13">
                  <c:v>43444.0</c:v>
                </c:pt>
                <c:pt idx="14">
                  <c:v>43445.0</c:v>
                </c:pt>
                <c:pt idx="15">
                  <c:v>43446.0</c:v>
                </c:pt>
                <c:pt idx="16">
                  <c:v>43447.0</c:v>
                </c:pt>
                <c:pt idx="17">
                  <c:v>43448.0</c:v>
                </c:pt>
                <c:pt idx="18">
                  <c:v>43449.0</c:v>
                </c:pt>
                <c:pt idx="19">
                  <c:v>43450.0</c:v>
                </c:pt>
                <c:pt idx="22">
                  <c:v>43451.0</c:v>
                </c:pt>
                <c:pt idx="23">
                  <c:v>43452.0</c:v>
                </c:pt>
                <c:pt idx="24">
                  <c:v>43453.0</c:v>
                </c:pt>
                <c:pt idx="25">
                  <c:v>43454.0</c:v>
                </c:pt>
                <c:pt idx="26">
                  <c:v>43455.0</c:v>
                </c:pt>
                <c:pt idx="27">
                  <c:v>43456.0</c:v>
                </c:pt>
                <c:pt idx="28">
                  <c:v>43457.0</c:v>
                </c:pt>
                <c:pt idx="31">
                  <c:v>43458.0</c:v>
                </c:pt>
                <c:pt idx="32">
                  <c:v>43459.0</c:v>
                </c:pt>
                <c:pt idx="33">
                  <c:v>43460.0</c:v>
                </c:pt>
                <c:pt idx="34">
                  <c:v>43461.0</c:v>
                </c:pt>
                <c:pt idx="35">
                  <c:v>43462.0</c:v>
                </c:pt>
                <c:pt idx="36">
                  <c:v>43463.0</c:v>
                </c:pt>
                <c:pt idx="37">
                  <c:v>43464.0</c:v>
                </c:pt>
                <c:pt idx="40">
                  <c:v>43465.0</c:v>
                </c:pt>
              </c:numCache>
            </c:numRef>
          </c:cat>
          <c:val>
            <c:numRef>
              <c:f>DEC!$T$10:$T$50</c:f>
              <c:numCache>
                <c:formatCode>#,##0.0</c:formatCode>
                <c:ptCount val="4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1E-344F-BC10-5B3B1492A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35026824"/>
        <c:axId val="1816359160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DEC!$C$10:$C$50</c:f>
              <c:numCache>
                <c:formatCode>d;@</c:formatCode>
                <c:ptCount val="41"/>
                <c:pt idx="0">
                  <c:v>43435.0</c:v>
                </c:pt>
                <c:pt idx="1">
                  <c:v>43436.0</c:v>
                </c:pt>
                <c:pt idx="4">
                  <c:v>43437.0</c:v>
                </c:pt>
                <c:pt idx="5">
                  <c:v>43438.0</c:v>
                </c:pt>
                <c:pt idx="6">
                  <c:v>43439.0</c:v>
                </c:pt>
                <c:pt idx="7">
                  <c:v>43440.0</c:v>
                </c:pt>
                <c:pt idx="8">
                  <c:v>43441.0</c:v>
                </c:pt>
                <c:pt idx="9">
                  <c:v>43442.0</c:v>
                </c:pt>
                <c:pt idx="10">
                  <c:v>43443.0</c:v>
                </c:pt>
                <c:pt idx="13">
                  <c:v>43444.0</c:v>
                </c:pt>
                <c:pt idx="14">
                  <c:v>43445.0</c:v>
                </c:pt>
                <c:pt idx="15">
                  <c:v>43446.0</c:v>
                </c:pt>
                <c:pt idx="16">
                  <c:v>43447.0</c:v>
                </c:pt>
                <c:pt idx="17">
                  <c:v>43448.0</c:v>
                </c:pt>
                <c:pt idx="18">
                  <c:v>43449.0</c:v>
                </c:pt>
                <c:pt idx="19">
                  <c:v>43450.0</c:v>
                </c:pt>
                <c:pt idx="22">
                  <c:v>43451.0</c:v>
                </c:pt>
                <c:pt idx="23">
                  <c:v>43452.0</c:v>
                </c:pt>
                <c:pt idx="24">
                  <c:v>43453.0</c:v>
                </c:pt>
                <c:pt idx="25">
                  <c:v>43454.0</c:v>
                </c:pt>
                <c:pt idx="26">
                  <c:v>43455.0</c:v>
                </c:pt>
                <c:pt idx="27">
                  <c:v>43456.0</c:v>
                </c:pt>
                <c:pt idx="28">
                  <c:v>43457.0</c:v>
                </c:pt>
                <c:pt idx="31">
                  <c:v>43458.0</c:v>
                </c:pt>
                <c:pt idx="32">
                  <c:v>43459.0</c:v>
                </c:pt>
                <c:pt idx="33">
                  <c:v>43460.0</c:v>
                </c:pt>
                <c:pt idx="34">
                  <c:v>43461.0</c:v>
                </c:pt>
                <c:pt idx="35">
                  <c:v>43462.0</c:v>
                </c:pt>
                <c:pt idx="36">
                  <c:v>43463.0</c:v>
                </c:pt>
                <c:pt idx="37">
                  <c:v>43464.0</c:v>
                </c:pt>
                <c:pt idx="40">
                  <c:v>43465.0</c:v>
                </c:pt>
              </c:numCache>
            </c:numRef>
          </c:cat>
          <c:val>
            <c:numRef>
              <c:f>DEC!$U$10:$U$50</c:f>
              <c:numCache>
                <c:formatCode>#,##0.0</c:formatCode>
                <c:ptCount val="4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1E-344F-BC10-5B3B1492AFD0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DEC!$C$10:$C$50</c:f>
              <c:numCache>
                <c:formatCode>d;@</c:formatCode>
                <c:ptCount val="41"/>
                <c:pt idx="0">
                  <c:v>43435.0</c:v>
                </c:pt>
                <c:pt idx="1">
                  <c:v>43436.0</c:v>
                </c:pt>
                <c:pt idx="4">
                  <c:v>43437.0</c:v>
                </c:pt>
                <c:pt idx="5">
                  <c:v>43438.0</c:v>
                </c:pt>
                <c:pt idx="6">
                  <c:v>43439.0</c:v>
                </c:pt>
                <c:pt idx="7">
                  <c:v>43440.0</c:v>
                </c:pt>
                <c:pt idx="8">
                  <c:v>43441.0</c:v>
                </c:pt>
                <c:pt idx="9">
                  <c:v>43442.0</c:v>
                </c:pt>
                <c:pt idx="10">
                  <c:v>43443.0</c:v>
                </c:pt>
                <c:pt idx="13">
                  <c:v>43444.0</c:v>
                </c:pt>
                <c:pt idx="14">
                  <c:v>43445.0</c:v>
                </c:pt>
                <c:pt idx="15">
                  <c:v>43446.0</c:v>
                </c:pt>
                <c:pt idx="16">
                  <c:v>43447.0</c:v>
                </c:pt>
                <c:pt idx="17">
                  <c:v>43448.0</c:v>
                </c:pt>
                <c:pt idx="18">
                  <c:v>43449.0</c:v>
                </c:pt>
                <c:pt idx="19">
                  <c:v>43450.0</c:v>
                </c:pt>
                <c:pt idx="22">
                  <c:v>43451.0</c:v>
                </c:pt>
                <c:pt idx="23">
                  <c:v>43452.0</c:v>
                </c:pt>
                <c:pt idx="24">
                  <c:v>43453.0</c:v>
                </c:pt>
                <c:pt idx="25">
                  <c:v>43454.0</c:v>
                </c:pt>
                <c:pt idx="26">
                  <c:v>43455.0</c:v>
                </c:pt>
                <c:pt idx="27">
                  <c:v>43456.0</c:v>
                </c:pt>
                <c:pt idx="28">
                  <c:v>43457.0</c:v>
                </c:pt>
                <c:pt idx="31">
                  <c:v>43458.0</c:v>
                </c:pt>
                <c:pt idx="32">
                  <c:v>43459.0</c:v>
                </c:pt>
                <c:pt idx="33">
                  <c:v>43460.0</c:v>
                </c:pt>
                <c:pt idx="34">
                  <c:v>43461.0</c:v>
                </c:pt>
                <c:pt idx="35">
                  <c:v>43462.0</c:v>
                </c:pt>
                <c:pt idx="36">
                  <c:v>43463.0</c:v>
                </c:pt>
                <c:pt idx="37">
                  <c:v>43464.0</c:v>
                </c:pt>
                <c:pt idx="40">
                  <c:v>43465.0</c:v>
                </c:pt>
              </c:numCache>
            </c:numRef>
          </c:cat>
          <c:val>
            <c:numRef>
              <c:f>DEC!$V$10:$V$50</c:f>
              <c:numCache>
                <c:formatCode>#,##0.00</c:formatCode>
                <c:ptCount val="41"/>
                <c:pt idx="0">
                  <c:v>0.0</c:v>
                </c:pt>
                <c:pt idx="1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4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1E-344F-BC10-5B3B1492A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1816309432"/>
        <c:axId val="1816310024"/>
      </c:barChart>
      <c:dateAx>
        <c:axId val="-2035026824"/>
        <c:scaling>
          <c:orientation val="minMax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816359160"/>
        <c:crosses val="autoZero"/>
        <c:auto val="1"/>
        <c:lblOffset val="100"/>
        <c:baseTimeUnit val="days"/>
      </c:dateAx>
      <c:valAx>
        <c:axId val="1816359160"/>
        <c:scaling>
          <c:orientation val="minMax"/>
          <c:min val="0.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-2035026824"/>
        <c:crosses val="autoZero"/>
        <c:crossBetween val="between"/>
      </c:valAx>
      <c:valAx>
        <c:axId val="1816310024"/>
        <c:scaling>
          <c:orientation val="minMax"/>
          <c:max val="6.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1816309432"/>
        <c:crosses val="max"/>
        <c:crossBetween val="between"/>
      </c:valAx>
      <c:dateAx>
        <c:axId val="181630943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1816310024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  <c:userShapes r:id="rId2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"/>
          <c:y val="0.016100445578174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37398098378587"/>
          <c:y val="0.197282609058995"/>
          <c:w val="0.863599047286655"/>
          <c:h val="0.70829764944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DEC!$O$53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DEC!$P$52:$V$52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DEC!$P$53:$V$53</c:f>
              <c:numCache>
                <c:formatCode>General</c:formatCode>
                <c:ptCount val="7"/>
                <c:pt idx="0">
                  <c:v>5.0</c:v>
                </c:pt>
                <c:pt idx="1">
                  <c:v>4.0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5.0</c:v>
                </c:pt>
                <c:pt idx="6">
                  <c:v>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C5-C149-92A9-A2F4081D09B2}"/>
            </c:ext>
          </c:extLst>
        </c:ser>
        <c:ser>
          <c:idx val="1"/>
          <c:order val="1"/>
          <c:tx>
            <c:strRef>
              <c:f>DEC!$O$54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DEC!$P$52:$V$52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DEC!$P$54:$V$54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C5-C149-92A9-A2F4081D09B2}"/>
            </c:ext>
          </c:extLst>
        </c:ser>
        <c:ser>
          <c:idx val="2"/>
          <c:order val="2"/>
          <c:tx>
            <c:strRef>
              <c:f>DEC!$O$55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DEC!$P$52:$V$52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DEC!$P$55:$V$55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C5-C149-92A9-A2F4081D09B2}"/>
            </c:ext>
          </c:extLst>
        </c:ser>
        <c:ser>
          <c:idx val="4"/>
          <c:order val="3"/>
          <c:tx>
            <c:strRef>
              <c:f>DEC!$O$56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DEC!$P$52:$V$52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DEC!$P$56:$V$56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DC5-C149-92A9-A2F4081D09B2}"/>
            </c:ext>
          </c:extLst>
        </c:ser>
        <c:ser>
          <c:idx val="6"/>
          <c:order val="4"/>
          <c:tx>
            <c:strRef>
              <c:f>DEC!$O$59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DEC!$P$52:$V$52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DEC!$P$59:$V$59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C5-C149-92A9-A2F4081D0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610776"/>
        <c:axId val="1827613864"/>
      </c:barChart>
      <c:catAx>
        <c:axId val="1827610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827613864"/>
        <c:crosses val="autoZero"/>
        <c:auto val="0"/>
        <c:lblAlgn val="ctr"/>
        <c:lblOffset val="100"/>
        <c:noMultiLvlLbl val="0"/>
      </c:catAx>
      <c:valAx>
        <c:axId val="1827613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827610776"/>
        <c:crosses val="autoZero"/>
        <c:crossBetween val="between"/>
        <c:majorUnit val="1.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"/>
          <c:w val="0.852257405751388"/>
          <c:h val="0.0871063201234685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1505191362717"/>
          <c:y val="0.251853859212731"/>
          <c:w val="0.865392940718945"/>
          <c:h val="0.6448622676745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JAN!$C$5:$C$43</c:f>
              <c:numCache>
                <c:formatCode>d;@</c:formatCode>
                <c:ptCount val="39"/>
                <c:pt idx="0">
                  <c:v>43101.0</c:v>
                </c:pt>
                <c:pt idx="1">
                  <c:v>43102.0</c:v>
                </c:pt>
                <c:pt idx="2">
                  <c:v>43103.0</c:v>
                </c:pt>
                <c:pt idx="3">
                  <c:v>43104.0</c:v>
                </c:pt>
                <c:pt idx="4">
                  <c:v>43105.0</c:v>
                </c:pt>
                <c:pt idx="5">
                  <c:v>43106.0</c:v>
                </c:pt>
                <c:pt idx="6">
                  <c:v>43107.0</c:v>
                </c:pt>
                <c:pt idx="9">
                  <c:v>43108.0</c:v>
                </c:pt>
                <c:pt idx="10">
                  <c:v>43109.0</c:v>
                </c:pt>
                <c:pt idx="11">
                  <c:v>43110.0</c:v>
                </c:pt>
                <c:pt idx="12">
                  <c:v>43111.0</c:v>
                </c:pt>
                <c:pt idx="13">
                  <c:v>43112.0</c:v>
                </c:pt>
                <c:pt idx="14">
                  <c:v>43113.0</c:v>
                </c:pt>
                <c:pt idx="15">
                  <c:v>43114.0</c:v>
                </c:pt>
                <c:pt idx="18">
                  <c:v>43115.0</c:v>
                </c:pt>
                <c:pt idx="19">
                  <c:v>43116.0</c:v>
                </c:pt>
                <c:pt idx="20">
                  <c:v>43117.0</c:v>
                </c:pt>
                <c:pt idx="21">
                  <c:v>43118.0</c:v>
                </c:pt>
                <c:pt idx="22">
                  <c:v>43119.0</c:v>
                </c:pt>
                <c:pt idx="23">
                  <c:v>43120.0</c:v>
                </c:pt>
                <c:pt idx="24">
                  <c:v>43121.0</c:v>
                </c:pt>
                <c:pt idx="27">
                  <c:v>43122.0</c:v>
                </c:pt>
                <c:pt idx="28">
                  <c:v>43123.0</c:v>
                </c:pt>
                <c:pt idx="29">
                  <c:v>43124.0</c:v>
                </c:pt>
                <c:pt idx="30">
                  <c:v>43125.0</c:v>
                </c:pt>
                <c:pt idx="31">
                  <c:v>43126.0</c:v>
                </c:pt>
                <c:pt idx="32">
                  <c:v>43127.0</c:v>
                </c:pt>
                <c:pt idx="33">
                  <c:v>43128.0</c:v>
                </c:pt>
                <c:pt idx="36">
                  <c:v>43129.0</c:v>
                </c:pt>
                <c:pt idx="37">
                  <c:v>43130.0</c:v>
                </c:pt>
                <c:pt idx="38">
                  <c:v>43131.0</c:v>
                </c:pt>
              </c:numCache>
            </c:numRef>
          </c:cat>
          <c:val>
            <c:numRef>
              <c:f>JAN!$R$5:$R$43</c:f>
              <c:numCache>
                <c:formatCode>#,##0.0</c:formatCode>
                <c:ptCount val="3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7-804F-84F4-E4E645ED2EE6}"/>
            </c:ext>
          </c:extLst>
        </c:ser>
        <c:ser>
          <c:idx val="1"/>
          <c:order val="1"/>
          <c:invertIfNegative val="0"/>
          <c:cat>
            <c:numRef>
              <c:f>JAN!$C$5:$C$43</c:f>
              <c:numCache>
                <c:formatCode>d;@</c:formatCode>
                <c:ptCount val="39"/>
                <c:pt idx="0">
                  <c:v>43101.0</c:v>
                </c:pt>
                <c:pt idx="1">
                  <c:v>43102.0</c:v>
                </c:pt>
                <c:pt idx="2">
                  <c:v>43103.0</c:v>
                </c:pt>
                <c:pt idx="3">
                  <c:v>43104.0</c:v>
                </c:pt>
                <c:pt idx="4">
                  <c:v>43105.0</c:v>
                </c:pt>
                <c:pt idx="5">
                  <c:v>43106.0</c:v>
                </c:pt>
                <c:pt idx="6">
                  <c:v>43107.0</c:v>
                </c:pt>
                <c:pt idx="9">
                  <c:v>43108.0</c:v>
                </c:pt>
                <c:pt idx="10">
                  <c:v>43109.0</c:v>
                </c:pt>
                <c:pt idx="11">
                  <c:v>43110.0</c:v>
                </c:pt>
                <c:pt idx="12">
                  <c:v>43111.0</c:v>
                </c:pt>
                <c:pt idx="13">
                  <c:v>43112.0</c:v>
                </c:pt>
                <c:pt idx="14">
                  <c:v>43113.0</c:v>
                </c:pt>
                <c:pt idx="15">
                  <c:v>43114.0</c:v>
                </c:pt>
                <c:pt idx="18">
                  <c:v>43115.0</c:v>
                </c:pt>
                <c:pt idx="19">
                  <c:v>43116.0</c:v>
                </c:pt>
                <c:pt idx="20">
                  <c:v>43117.0</c:v>
                </c:pt>
                <c:pt idx="21">
                  <c:v>43118.0</c:v>
                </c:pt>
                <c:pt idx="22">
                  <c:v>43119.0</c:v>
                </c:pt>
                <c:pt idx="23">
                  <c:v>43120.0</c:v>
                </c:pt>
                <c:pt idx="24">
                  <c:v>43121.0</c:v>
                </c:pt>
                <c:pt idx="27">
                  <c:v>43122.0</c:v>
                </c:pt>
                <c:pt idx="28">
                  <c:v>43123.0</c:v>
                </c:pt>
                <c:pt idx="29">
                  <c:v>43124.0</c:v>
                </c:pt>
                <c:pt idx="30">
                  <c:v>43125.0</c:v>
                </c:pt>
                <c:pt idx="31">
                  <c:v>43126.0</c:v>
                </c:pt>
                <c:pt idx="32">
                  <c:v>43127.0</c:v>
                </c:pt>
                <c:pt idx="33">
                  <c:v>43128.0</c:v>
                </c:pt>
                <c:pt idx="36">
                  <c:v>43129.0</c:v>
                </c:pt>
                <c:pt idx="37">
                  <c:v>43130.0</c:v>
                </c:pt>
                <c:pt idx="38">
                  <c:v>43131.0</c:v>
                </c:pt>
              </c:numCache>
            </c:numRef>
          </c:cat>
          <c:val>
            <c:numRef>
              <c:f>JAN!$T$5:$T$43</c:f>
              <c:numCache>
                <c:formatCode>#,##0.0</c:formatCode>
                <c:ptCount val="3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97-804F-84F4-E4E645ED2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59139224"/>
        <c:axId val="-1959149912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JAN!$C$5:$C$43</c:f>
              <c:numCache>
                <c:formatCode>d;@</c:formatCode>
                <c:ptCount val="39"/>
                <c:pt idx="0">
                  <c:v>43101.0</c:v>
                </c:pt>
                <c:pt idx="1">
                  <c:v>43102.0</c:v>
                </c:pt>
                <c:pt idx="2">
                  <c:v>43103.0</c:v>
                </c:pt>
                <c:pt idx="3">
                  <c:v>43104.0</c:v>
                </c:pt>
                <c:pt idx="4">
                  <c:v>43105.0</c:v>
                </c:pt>
                <c:pt idx="5">
                  <c:v>43106.0</c:v>
                </c:pt>
                <c:pt idx="6">
                  <c:v>43107.0</c:v>
                </c:pt>
                <c:pt idx="9">
                  <c:v>43108.0</c:v>
                </c:pt>
                <c:pt idx="10">
                  <c:v>43109.0</c:v>
                </c:pt>
                <c:pt idx="11">
                  <c:v>43110.0</c:v>
                </c:pt>
                <c:pt idx="12">
                  <c:v>43111.0</c:v>
                </c:pt>
                <c:pt idx="13">
                  <c:v>43112.0</c:v>
                </c:pt>
                <c:pt idx="14">
                  <c:v>43113.0</c:v>
                </c:pt>
                <c:pt idx="15">
                  <c:v>43114.0</c:v>
                </c:pt>
                <c:pt idx="18">
                  <c:v>43115.0</c:v>
                </c:pt>
                <c:pt idx="19">
                  <c:v>43116.0</c:v>
                </c:pt>
                <c:pt idx="20">
                  <c:v>43117.0</c:v>
                </c:pt>
                <c:pt idx="21">
                  <c:v>43118.0</c:v>
                </c:pt>
                <c:pt idx="22">
                  <c:v>43119.0</c:v>
                </c:pt>
                <c:pt idx="23">
                  <c:v>43120.0</c:v>
                </c:pt>
                <c:pt idx="24">
                  <c:v>43121.0</c:v>
                </c:pt>
                <c:pt idx="27">
                  <c:v>43122.0</c:v>
                </c:pt>
                <c:pt idx="28">
                  <c:v>43123.0</c:v>
                </c:pt>
                <c:pt idx="29">
                  <c:v>43124.0</c:v>
                </c:pt>
                <c:pt idx="30">
                  <c:v>43125.0</c:v>
                </c:pt>
                <c:pt idx="31">
                  <c:v>43126.0</c:v>
                </c:pt>
                <c:pt idx="32">
                  <c:v>43127.0</c:v>
                </c:pt>
                <c:pt idx="33">
                  <c:v>43128.0</c:v>
                </c:pt>
                <c:pt idx="36">
                  <c:v>43129.0</c:v>
                </c:pt>
                <c:pt idx="37">
                  <c:v>43130.0</c:v>
                </c:pt>
                <c:pt idx="38">
                  <c:v>43131.0</c:v>
                </c:pt>
              </c:numCache>
            </c:numRef>
          </c:cat>
          <c:val>
            <c:numRef>
              <c:f>JAN!$U$5:$U$43</c:f>
              <c:numCache>
                <c:formatCode>#,##0.0</c:formatCode>
                <c:ptCount val="3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97-804F-84F4-E4E645ED2EE6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JAN!$C$5:$C$43</c:f>
              <c:numCache>
                <c:formatCode>d;@</c:formatCode>
                <c:ptCount val="39"/>
                <c:pt idx="0">
                  <c:v>43101.0</c:v>
                </c:pt>
                <c:pt idx="1">
                  <c:v>43102.0</c:v>
                </c:pt>
                <c:pt idx="2">
                  <c:v>43103.0</c:v>
                </c:pt>
                <c:pt idx="3">
                  <c:v>43104.0</c:v>
                </c:pt>
                <c:pt idx="4">
                  <c:v>43105.0</c:v>
                </c:pt>
                <c:pt idx="5">
                  <c:v>43106.0</c:v>
                </c:pt>
                <c:pt idx="6">
                  <c:v>43107.0</c:v>
                </c:pt>
                <c:pt idx="9">
                  <c:v>43108.0</c:v>
                </c:pt>
                <c:pt idx="10">
                  <c:v>43109.0</c:v>
                </c:pt>
                <c:pt idx="11">
                  <c:v>43110.0</c:v>
                </c:pt>
                <c:pt idx="12">
                  <c:v>43111.0</c:v>
                </c:pt>
                <c:pt idx="13">
                  <c:v>43112.0</c:v>
                </c:pt>
                <c:pt idx="14">
                  <c:v>43113.0</c:v>
                </c:pt>
                <c:pt idx="15">
                  <c:v>43114.0</c:v>
                </c:pt>
                <c:pt idx="18">
                  <c:v>43115.0</c:v>
                </c:pt>
                <c:pt idx="19">
                  <c:v>43116.0</c:v>
                </c:pt>
                <c:pt idx="20">
                  <c:v>43117.0</c:v>
                </c:pt>
                <c:pt idx="21">
                  <c:v>43118.0</c:v>
                </c:pt>
                <c:pt idx="22">
                  <c:v>43119.0</c:v>
                </c:pt>
                <c:pt idx="23">
                  <c:v>43120.0</c:v>
                </c:pt>
                <c:pt idx="24">
                  <c:v>43121.0</c:v>
                </c:pt>
                <c:pt idx="27">
                  <c:v>43122.0</c:v>
                </c:pt>
                <c:pt idx="28">
                  <c:v>43123.0</c:v>
                </c:pt>
                <c:pt idx="29">
                  <c:v>43124.0</c:v>
                </c:pt>
                <c:pt idx="30">
                  <c:v>43125.0</c:v>
                </c:pt>
                <c:pt idx="31">
                  <c:v>43126.0</c:v>
                </c:pt>
                <c:pt idx="32">
                  <c:v>43127.0</c:v>
                </c:pt>
                <c:pt idx="33">
                  <c:v>43128.0</c:v>
                </c:pt>
                <c:pt idx="36">
                  <c:v>43129.0</c:v>
                </c:pt>
                <c:pt idx="37">
                  <c:v>43130.0</c:v>
                </c:pt>
                <c:pt idx="38">
                  <c:v>43131.0</c:v>
                </c:pt>
              </c:numCache>
            </c:numRef>
          </c:cat>
          <c:val>
            <c:numRef>
              <c:f>JAN!$V$5:$V$43</c:f>
              <c:numCache>
                <c:formatCode>#,##0.00</c:formatCode>
                <c:ptCount val="3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697-804F-84F4-E4E645ED2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-1959156504"/>
        <c:axId val="-1959159784"/>
      </c:barChart>
      <c:dateAx>
        <c:axId val="-1959139224"/>
        <c:scaling>
          <c:orientation val="minMax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-1959149912"/>
        <c:crosses val="autoZero"/>
        <c:auto val="1"/>
        <c:lblOffset val="100"/>
        <c:baseTimeUnit val="days"/>
      </c:dateAx>
      <c:valAx>
        <c:axId val="-1959149912"/>
        <c:scaling>
          <c:orientation val="minMax"/>
          <c:min val="0.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-1959139224"/>
        <c:crosses val="autoZero"/>
        <c:crossBetween val="between"/>
      </c:valAx>
      <c:valAx>
        <c:axId val="-1959159784"/>
        <c:scaling>
          <c:orientation val="minMax"/>
          <c:max val="6.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-1959156504"/>
        <c:crosses val="max"/>
        <c:crossBetween val="between"/>
      </c:valAx>
      <c:dateAx>
        <c:axId val="-1959156504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-1959159784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"/>
          <c:y val="0.016100445578174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37398098378587"/>
          <c:y val="0.197282609058995"/>
          <c:w val="0.863599047286655"/>
          <c:h val="0.70829764944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JAN!$P$52:$V$52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JAN!$P$53:$V$53</c:f>
              <c:numCache>
                <c:formatCode>General</c:formatCode>
                <c:ptCount val="7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4.0</c:v>
                </c:pt>
                <c:pt idx="4">
                  <c:v>4.0</c:v>
                </c:pt>
                <c:pt idx="5">
                  <c:v>4.0</c:v>
                </c:pt>
                <c:pt idx="6">
                  <c:v>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21-1E40-AFD8-335DC08FB1B0}"/>
            </c:ext>
          </c:extLst>
        </c:ser>
        <c:ser>
          <c:idx val="1"/>
          <c:order val="1"/>
          <c:tx>
            <c:strRef>
              <c:f>JAN!$O$54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JAN!$P$52:$V$52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JAN!$P$54:$V$54</c:f>
              <c:numCache>
                <c:formatCode>General</c:formatCode>
                <c:ptCount val="7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4.0</c:v>
                </c:pt>
                <c:pt idx="4">
                  <c:v>4.0</c:v>
                </c:pt>
                <c:pt idx="5">
                  <c:v>4.0</c:v>
                </c:pt>
                <c:pt idx="6">
                  <c:v>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21-1E40-AFD8-335DC08FB1B0}"/>
            </c:ext>
          </c:extLst>
        </c:ser>
        <c:ser>
          <c:idx val="2"/>
          <c:order val="2"/>
          <c:tx>
            <c:strRef>
              <c:f>JAN!$O$55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JAN!$P$52:$V$52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JAN!$P$55:$V$55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21-1E40-AFD8-335DC08FB1B0}"/>
            </c:ext>
          </c:extLst>
        </c:ser>
        <c:ser>
          <c:idx val="4"/>
          <c:order val="3"/>
          <c:tx>
            <c:strRef>
              <c:f>JAN!$O$56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JAN!$P$52:$V$52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JAN!$P$56:$V$56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421-1E40-AFD8-335DC08FB1B0}"/>
            </c:ext>
          </c:extLst>
        </c:ser>
        <c:ser>
          <c:idx val="6"/>
          <c:order val="4"/>
          <c:tx>
            <c:strRef>
              <c:f>JAN!$O$59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JAN!$P$52:$V$52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JAN!$P$59:$V$59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21-1E40-AFD8-335DC08FB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59213464"/>
        <c:axId val="-1959233672"/>
      </c:barChart>
      <c:catAx>
        <c:axId val="-1959213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-1959233672"/>
        <c:crosses val="autoZero"/>
        <c:auto val="0"/>
        <c:lblAlgn val="ctr"/>
        <c:lblOffset val="100"/>
        <c:noMultiLvlLbl val="0"/>
      </c:catAx>
      <c:valAx>
        <c:axId val="-1959233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-1959213464"/>
        <c:crosses val="autoZero"/>
        <c:crossBetween val="between"/>
        <c:majorUnit val="1.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"/>
          <c:w val="0.852257405751388"/>
          <c:h val="0.0871063201234685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 monthly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  date</a:t>
            </a:r>
          </a:p>
        </c:rich>
      </c:tx>
      <c:layout>
        <c:manualLayout>
          <c:xMode val="edge"/>
          <c:yMode val="edge"/>
          <c:x val="0.120562605111022"/>
          <c:y val="0.32664719974798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982871397215672"/>
          <c:y val="0.0609140180360491"/>
          <c:w val="0.890845181904938"/>
          <c:h val="0.864771029434899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FEB!$C$7:$D$43</c:f>
              <c:numCache>
                <c:formatCode>d;@</c:formatCode>
                <c:ptCount val="37"/>
                <c:pt idx="0">
                  <c:v>43131.0</c:v>
                </c:pt>
                <c:pt idx="1">
                  <c:v>43132.0</c:v>
                </c:pt>
                <c:pt idx="2">
                  <c:v>43133.0</c:v>
                </c:pt>
                <c:pt idx="3">
                  <c:v>43134.0</c:v>
                </c:pt>
                <c:pt idx="4">
                  <c:v>43135.0</c:v>
                </c:pt>
                <c:pt idx="7">
                  <c:v>43136.0</c:v>
                </c:pt>
                <c:pt idx="8">
                  <c:v>43137.0</c:v>
                </c:pt>
                <c:pt idx="9">
                  <c:v>43138.0</c:v>
                </c:pt>
                <c:pt idx="10">
                  <c:v>43139.0</c:v>
                </c:pt>
                <c:pt idx="11">
                  <c:v>43140.0</c:v>
                </c:pt>
                <c:pt idx="12">
                  <c:v>43141.0</c:v>
                </c:pt>
                <c:pt idx="13">
                  <c:v>43142.0</c:v>
                </c:pt>
                <c:pt idx="16">
                  <c:v>43143.0</c:v>
                </c:pt>
                <c:pt idx="17">
                  <c:v>43144.0</c:v>
                </c:pt>
                <c:pt idx="18">
                  <c:v>43145.0</c:v>
                </c:pt>
                <c:pt idx="19">
                  <c:v>43146.0</c:v>
                </c:pt>
                <c:pt idx="20">
                  <c:v>43147.0</c:v>
                </c:pt>
                <c:pt idx="21">
                  <c:v>43148.0</c:v>
                </c:pt>
                <c:pt idx="22">
                  <c:v>43149.0</c:v>
                </c:pt>
                <c:pt idx="25">
                  <c:v>43150.0</c:v>
                </c:pt>
                <c:pt idx="26">
                  <c:v>43151.0</c:v>
                </c:pt>
                <c:pt idx="27">
                  <c:v>43152.0</c:v>
                </c:pt>
                <c:pt idx="28">
                  <c:v>43153.0</c:v>
                </c:pt>
                <c:pt idx="29">
                  <c:v>43154.0</c:v>
                </c:pt>
                <c:pt idx="30">
                  <c:v>43155.0</c:v>
                </c:pt>
                <c:pt idx="31">
                  <c:v>43156.0</c:v>
                </c:pt>
                <c:pt idx="34">
                  <c:v>43157.0</c:v>
                </c:pt>
                <c:pt idx="35">
                  <c:v>43158.0</c:v>
                </c:pt>
                <c:pt idx="36">
                  <c:v>43159.0</c:v>
                </c:pt>
              </c:numCache>
            </c:numRef>
          </c:cat>
          <c:val>
            <c:numRef>
              <c:f>FEB!$Q$7:$Q$43</c:f>
              <c:numCache>
                <c:formatCode>#,##0.0</c:formatCode>
                <c:ptCount val="37"/>
                <c:pt idx="0">
                  <c:v>30.59834134693273</c:v>
                </c:pt>
                <c:pt idx="1">
                  <c:v>30.59834134693273</c:v>
                </c:pt>
                <c:pt idx="2">
                  <c:v>30.59834134693273</c:v>
                </c:pt>
                <c:pt idx="3">
                  <c:v>30.59834134693273</c:v>
                </c:pt>
                <c:pt idx="4">
                  <c:v>30.59834134693273</c:v>
                </c:pt>
                <c:pt idx="5">
                  <c:v>0.0</c:v>
                </c:pt>
                <c:pt idx="6">
                  <c:v>0.0</c:v>
                </c:pt>
                <c:pt idx="7">
                  <c:v>30.59834134693273</c:v>
                </c:pt>
                <c:pt idx="8">
                  <c:v>30.59834134693273</c:v>
                </c:pt>
                <c:pt idx="9">
                  <c:v>30.59834134693273</c:v>
                </c:pt>
                <c:pt idx="10">
                  <c:v>30.59834134693273</c:v>
                </c:pt>
                <c:pt idx="11">
                  <c:v>30.59834134693273</c:v>
                </c:pt>
                <c:pt idx="12">
                  <c:v>30.59834134693273</c:v>
                </c:pt>
                <c:pt idx="13">
                  <c:v>30.59834134693273</c:v>
                </c:pt>
                <c:pt idx="14">
                  <c:v>0.0</c:v>
                </c:pt>
                <c:pt idx="15">
                  <c:v>0.0</c:v>
                </c:pt>
                <c:pt idx="16">
                  <c:v>30.59834134693273</c:v>
                </c:pt>
                <c:pt idx="17">
                  <c:v>30.59834134693273</c:v>
                </c:pt>
                <c:pt idx="18">
                  <c:v>30.59834134693273</c:v>
                </c:pt>
                <c:pt idx="19">
                  <c:v>30.59834134693273</c:v>
                </c:pt>
                <c:pt idx="20">
                  <c:v>30.59834134693273</c:v>
                </c:pt>
                <c:pt idx="21">
                  <c:v>30.59834134693273</c:v>
                </c:pt>
                <c:pt idx="22">
                  <c:v>30.59834134693273</c:v>
                </c:pt>
                <c:pt idx="23">
                  <c:v>0.0</c:v>
                </c:pt>
                <c:pt idx="24">
                  <c:v>0.0</c:v>
                </c:pt>
                <c:pt idx="25">
                  <c:v>30.59834134693273</c:v>
                </c:pt>
                <c:pt idx="26">
                  <c:v>30.59834134693273</c:v>
                </c:pt>
                <c:pt idx="27">
                  <c:v>30.59834134693273</c:v>
                </c:pt>
                <c:pt idx="28">
                  <c:v>30.59834134693273</c:v>
                </c:pt>
                <c:pt idx="29">
                  <c:v>30.59834134693273</c:v>
                </c:pt>
                <c:pt idx="30">
                  <c:v>30.59834134693273</c:v>
                </c:pt>
                <c:pt idx="31">
                  <c:v>30.59834134693273</c:v>
                </c:pt>
                <c:pt idx="32">
                  <c:v>0.0</c:v>
                </c:pt>
                <c:pt idx="33">
                  <c:v>0.0</c:v>
                </c:pt>
                <c:pt idx="34">
                  <c:v>30.59834134693273</c:v>
                </c:pt>
                <c:pt idx="35">
                  <c:v>30.59834134693273</c:v>
                </c:pt>
                <c:pt idx="36">
                  <c:v>30.59834134693273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47-D44E-92D9-1D4437871770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FEB!$C$7:$D$43</c:f>
              <c:numCache>
                <c:formatCode>d;@</c:formatCode>
                <c:ptCount val="37"/>
                <c:pt idx="0">
                  <c:v>43131.0</c:v>
                </c:pt>
                <c:pt idx="1">
                  <c:v>43132.0</c:v>
                </c:pt>
                <c:pt idx="2">
                  <c:v>43133.0</c:v>
                </c:pt>
                <c:pt idx="3">
                  <c:v>43134.0</c:v>
                </c:pt>
                <c:pt idx="4">
                  <c:v>43135.0</c:v>
                </c:pt>
                <c:pt idx="7">
                  <c:v>43136.0</c:v>
                </c:pt>
                <c:pt idx="8">
                  <c:v>43137.0</c:v>
                </c:pt>
                <c:pt idx="9">
                  <c:v>43138.0</c:v>
                </c:pt>
                <c:pt idx="10">
                  <c:v>43139.0</c:v>
                </c:pt>
                <c:pt idx="11">
                  <c:v>43140.0</c:v>
                </c:pt>
                <c:pt idx="12">
                  <c:v>43141.0</c:v>
                </c:pt>
                <c:pt idx="13">
                  <c:v>43142.0</c:v>
                </c:pt>
                <c:pt idx="16">
                  <c:v>43143.0</c:v>
                </c:pt>
                <c:pt idx="17">
                  <c:v>43144.0</c:v>
                </c:pt>
                <c:pt idx="18">
                  <c:v>43145.0</c:v>
                </c:pt>
                <c:pt idx="19">
                  <c:v>43146.0</c:v>
                </c:pt>
                <c:pt idx="20">
                  <c:v>43147.0</c:v>
                </c:pt>
                <c:pt idx="21">
                  <c:v>43148.0</c:v>
                </c:pt>
                <c:pt idx="22">
                  <c:v>43149.0</c:v>
                </c:pt>
                <c:pt idx="25">
                  <c:v>43150.0</c:v>
                </c:pt>
                <c:pt idx="26">
                  <c:v>43151.0</c:v>
                </c:pt>
                <c:pt idx="27">
                  <c:v>43152.0</c:v>
                </c:pt>
                <c:pt idx="28">
                  <c:v>43153.0</c:v>
                </c:pt>
                <c:pt idx="29">
                  <c:v>43154.0</c:v>
                </c:pt>
                <c:pt idx="30">
                  <c:v>43155.0</c:v>
                </c:pt>
                <c:pt idx="31">
                  <c:v>43156.0</c:v>
                </c:pt>
                <c:pt idx="34">
                  <c:v>43157.0</c:v>
                </c:pt>
                <c:pt idx="35">
                  <c:v>43158.0</c:v>
                </c:pt>
                <c:pt idx="36">
                  <c:v>43159.0</c:v>
                </c:pt>
              </c:numCache>
            </c:numRef>
          </c:cat>
          <c:val>
            <c:numRef>
              <c:f>FEB!$AB$7:$AB$43</c:f>
              <c:numCache>
                <c:formatCode>#,##0.0</c:formatCode>
                <c:ptCount val="3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47-D44E-92D9-1D4437871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760936"/>
        <c:axId val="1836813240"/>
      </c:lineChart>
      <c:dateAx>
        <c:axId val="1836760936"/>
        <c:scaling>
          <c:orientation val="minMax"/>
          <c:max val="43159.0"/>
          <c:min val="43131.0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836813240"/>
        <c:crosses val="autoZero"/>
        <c:auto val="1"/>
        <c:lblOffset val="100"/>
        <c:baseTimeUnit val="days"/>
      </c:dateAx>
      <c:valAx>
        <c:axId val="1836813240"/>
        <c:scaling>
          <c:orientation val="minMax"/>
          <c:min val="0.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836760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1505191362717"/>
          <c:y val="0.251853859212731"/>
          <c:w val="0.865392940718945"/>
          <c:h val="0.6448622676745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FEB!$C$8:$C$43</c:f>
              <c:numCache>
                <c:formatCode>d;@</c:formatCode>
                <c:ptCount val="36"/>
                <c:pt idx="0">
                  <c:v>43132.0</c:v>
                </c:pt>
                <c:pt idx="1">
                  <c:v>43133.0</c:v>
                </c:pt>
                <c:pt idx="2">
                  <c:v>43134.0</c:v>
                </c:pt>
                <c:pt idx="3">
                  <c:v>43135.0</c:v>
                </c:pt>
                <c:pt idx="6">
                  <c:v>43136.0</c:v>
                </c:pt>
                <c:pt idx="7">
                  <c:v>43137.0</c:v>
                </c:pt>
                <c:pt idx="8">
                  <c:v>43138.0</c:v>
                </c:pt>
                <c:pt idx="9">
                  <c:v>43139.0</c:v>
                </c:pt>
                <c:pt idx="10">
                  <c:v>43140.0</c:v>
                </c:pt>
                <c:pt idx="11">
                  <c:v>43141.0</c:v>
                </c:pt>
                <c:pt idx="12">
                  <c:v>43142.0</c:v>
                </c:pt>
                <c:pt idx="15">
                  <c:v>43143.0</c:v>
                </c:pt>
                <c:pt idx="16">
                  <c:v>43144.0</c:v>
                </c:pt>
                <c:pt idx="17">
                  <c:v>43145.0</c:v>
                </c:pt>
                <c:pt idx="18">
                  <c:v>43146.0</c:v>
                </c:pt>
                <c:pt idx="19">
                  <c:v>43147.0</c:v>
                </c:pt>
                <c:pt idx="20">
                  <c:v>43148.0</c:v>
                </c:pt>
                <c:pt idx="21">
                  <c:v>43149.0</c:v>
                </c:pt>
                <c:pt idx="24">
                  <c:v>43150.0</c:v>
                </c:pt>
                <c:pt idx="25">
                  <c:v>43151.0</c:v>
                </c:pt>
                <c:pt idx="26">
                  <c:v>43152.0</c:v>
                </c:pt>
                <c:pt idx="27">
                  <c:v>43153.0</c:v>
                </c:pt>
                <c:pt idx="28">
                  <c:v>43154.0</c:v>
                </c:pt>
                <c:pt idx="29">
                  <c:v>43155.0</c:v>
                </c:pt>
                <c:pt idx="30">
                  <c:v>43156.0</c:v>
                </c:pt>
                <c:pt idx="33">
                  <c:v>43157.0</c:v>
                </c:pt>
                <c:pt idx="34">
                  <c:v>43158.0</c:v>
                </c:pt>
                <c:pt idx="35">
                  <c:v>43159.0</c:v>
                </c:pt>
              </c:numCache>
            </c:numRef>
          </c:cat>
          <c:val>
            <c:numRef>
              <c:f>FEB!$R$8:$R$43</c:f>
              <c:numCache>
                <c:formatCode>#,##0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FC-F849-A167-16BF404F0B25}"/>
            </c:ext>
          </c:extLst>
        </c:ser>
        <c:ser>
          <c:idx val="1"/>
          <c:order val="1"/>
          <c:invertIfNegative val="0"/>
          <c:cat>
            <c:numRef>
              <c:f>FEB!$C$8:$C$43</c:f>
              <c:numCache>
                <c:formatCode>d;@</c:formatCode>
                <c:ptCount val="36"/>
                <c:pt idx="0">
                  <c:v>43132.0</c:v>
                </c:pt>
                <c:pt idx="1">
                  <c:v>43133.0</c:v>
                </c:pt>
                <c:pt idx="2">
                  <c:v>43134.0</c:v>
                </c:pt>
                <c:pt idx="3">
                  <c:v>43135.0</c:v>
                </c:pt>
                <c:pt idx="6">
                  <c:v>43136.0</c:v>
                </c:pt>
                <c:pt idx="7">
                  <c:v>43137.0</c:v>
                </c:pt>
                <c:pt idx="8">
                  <c:v>43138.0</c:v>
                </c:pt>
                <c:pt idx="9">
                  <c:v>43139.0</c:v>
                </c:pt>
                <c:pt idx="10">
                  <c:v>43140.0</c:v>
                </c:pt>
                <c:pt idx="11">
                  <c:v>43141.0</c:v>
                </c:pt>
                <c:pt idx="12">
                  <c:v>43142.0</c:v>
                </c:pt>
                <c:pt idx="15">
                  <c:v>43143.0</c:v>
                </c:pt>
                <c:pt idx="16">
                  <c:v>43144.0</c:v>
                </c:pt>
                <c:pt idx="17">
                  <c:v>43145.0</c:v>
                </c:pt>
                <c:pt idx="18">
                  <c:v>43146.0</c:v>
                </c:pt>
                <c:pt idx="19">
                  <c:v>43147.0</c:v>
                </c:pt>
                <c:pt idx="20">
                  <c:v>43148.0</c:v>
                </c:pt>
                <c:pt idx="21">
                  <c:v>43149.0</c:v>
                </c:pt>
                <c:pt idx="24">
                  <c:v>43150.0</c:v>
                </c:pt>
                <c:pt idx="25">
                  <c:v>43151.0</c:v>
                </c:pt>
                <c:pt idx="26">
                  <c:v>43152.0</c:v>
                </c:pt>
                <c:pt idx="27">
                  <c:v>43153.0</c:v>
                </c:pt>
                <c:pt idx="28">
                  <c:v>43154.0</c:v>
                </c:pt>
                <c:pt idx="29">
                  <c:v>43155.0</c:v>
                </c:pt>
                <c:pt idx="30">
                  <c:v>43156.0</c:v>
                </c:pt>
                <c:pt idx="33">
                  <c:v>43157.0</c:v>
                </c:pt>
                <c:pt idx="34">
                  <c:v>43158.0</c:v>
                </c:pt>
                <c:pt idx="35">
                  <c:v>43159.0</c:v>
                </c:pt>
              </c:numCache>
            </c:numRef>
          </c:cat>
          <c:val>
            <c:numRef>
              <c:f>FEB!$T$8:$T$43</c:f>
              <c:numCache>
                <c:formatCode>#,##0.0</c:formatCode>
                <c:ptCount val="3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FC-F849-A167-16BF404F0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794296"/>
        <c:axId val="183679570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FEB!$C$8:$C$43</c:f>
              <c:numCache>
                <c:formatCode>d;@</c:formatCode>
                <c:ptCount val="36"/>
                <c:pt idx="0">
                  <c:v>43132.0</c:v>
                </c:pt>
                <c:pt idx="1">
                  <c:v>43133.0</c:v>
                </c:pt>
                <c:pt idx="2">
                  <c:v>43134.0</c:v>
                </c:pt>
                <c:pt idx="3">
                  <c:v>43135.0</c:v>
                </c:pt>
                <c:pt idx="6">
                  <c:v>43136.0</c:v>
                </c:pt>
                <c:pt idx="7">
                  <c:v>43137.0</c:v>
                </c:pt>
                <c:pt idx="8">
                  <c:v>43138.0</c:v>
                </c:pt>
                <c:pt idx="9">
                  <c:v>43139.0</c:v>
                </c:pt>
                <c:pt idx="10">
                  <c:v>43140.0</c:v>
                </c:pt>
                <c:pt idx="11">
                  <c:v>43141.0</c:v>
                </c:pt>
                <c:pt idx="12">
                  <c:v>43142.0</c:v>
                </c:pt>
                <c:pt idx="15">
                  <c:v>43143.0</c:v>
                </c:pt>
                <c:pt idx="16">
                  <c:v>43144.0</c:v>
                </c:pt>
                <c:pt idx="17">
                  <c:v>43145.0</c:v>
                </c:pt>
                <c:pt idx="18">
                  <c:v>43146.0</c:v>
                </c:pt>
                <c:pt idx="19">
                  <c:v>43147.0</c:v>
                </c:pt>
                <c:pt idx="20">
                  <c:v>43148.0</c:v>
                </c:pt>
                <c:pt idx="21">
                  <c:v>43149.0</c:v>
                </c:pt>
                <c:pt idx="24">
                  <c:v>43150.0</c:v>
                </c:pt>
                <c:pt idx="25">
                  <c:v>43151.0</c:v>
                </c:pt>
                <c:pt idx="26">
                  <c:v>43152.0</c:v>
                </c:pt>
                <c:pt idx="27">
                  <c:v>43153.0</c:v>
                </c:pt>
                <c:pt idx="28">
                  <c:v>43154.0</c:v>
                </c:pt>
                <c:pt idx="29">
                  <c:v>43155.0</c:v>
                </c:pt>
                <c:pt idx="30">
                  <c:v>43156.0</c:v>
                </c:pt>
                <c:pt idx="33">
                  <c:v>43157.0</c:v>
                </c:pt>
                <c:pt idx="34">
                  <c:v>43158.0</c:v>
                </c:pt>
                <c:pt idx="35">
                  <c:v>43159.0</c:v>
                </c:pt>
              </c:numCache>
            </c:numRef>
          </c:cat>
          <c:val>
            <c:numRef>
              <c:f>FEB!$U$8:$U$43</c:f>
              <c:numCache>
                <c:formatCode>#,##0.0</c:formatCode>
                <c:ptCount val="3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FC-F849-A167-16BF404F0B25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FEB!$C$8:$C$43</c:f>
              <c:numCache>
                <c:formatCode>d;@</c:formatCode>
                <c:ptCount val="36"/>
                <c:pt idx="0">
                  <c:v>43132.0</c:v>
                </c:pt>
                <c:pt idx="1">
                  <c:v>43133.0</c:v>
                </c:pt>
                <c:pt idx="2">
                  <c:v>43134.0</c:v>
                </c:pt>
                <c:pt idx="3">
                  <c:v>43135.0</c:v>
                </c:pt>
                <c:pt idx="6">
                  <c:v>43136.0</c:v>
                </c:pt>
                <c:pt idx="7">
                  <c:v>43137.0</c:v>
                </c:pt>
                <c:pt idx="8">
                  <c:v>43138.0</c:v>
                </c:pt>
                <c:pt idx="9">
                  <c:v>43139.0</c:v>
                </c:pt>
                <c:pt idx="10">
                  <c:v>43140.0</c:v>
                </c:pt>
                <c:pt idx="11">
                  <c:v>43141.0</c:v>
                </c:pt>
                <c:pt idx="12">
                  <c:v>43142.0</c:v>
                </c:pt>
                <c:pt idx="15">
                  <c:v>43143.0</c:v>
                </c:pt>
                <c:pt idx="16">
                  <c:v>43144.0</c:v>
                </c:pt>
                <c:pt idx="17">
                  <c:v>43145.0</c:v>
                </c:pt>
                <c:pt idx="18">
                  <c:v>43146.0</c:v>
                </c:pt>
                <c:pt idx="19">
                  <c:v>43147.0</c:v>
                </c:pt>
                <c:pt idx="20">
                  <c:v>43148.0</c:v>
                </c:pt>
                <c:pt idx="21">
                  <c:v>43149.0</c:v>
                </c:pt>
                <c:pt idx="24">
                  <c:v>43150.0</c:v>
                </c:pt>
                <c:pt idx="25">
                  <c:v>43151.0</c:v>
                </c:pt>
                <c:pt idx="26">
                  <c:v>43152.0</c:v>
                </c:pt>
                <c:pt idx="27">
                  <c:v>43153.0</c:v>
                </c:pt>
                <c:pt idx="28">
                  <c:v>43154.0</c:v>
                </c:pt>
                <c:pt idx="29">
                  <c:v>43155.0</c:v>
                </c:pt>
                <c:pt idx="30">
                  <c:v>43156.0</c:v>
                </c:pt>
                <c:pt idx="33">
                  <c:v>43157.0</c:v>
                </c:pt>
                <c:pt idx="34">
                  <c:v>43158.0</c:v>
                </c:pt>
                <c:pt idx="35">
                  <c:v>43159.0</c:v>
                </c:pt>
              </c:numCache>
            </c:numRef>
          </c:cat>
          <c:val>
            <c:numRef>
              <c:f>FEB!$V$8:$V$43</c:f>
              <c:numCache>
                <c:formatCode>#,##0.00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FC-F849-A167-16BF404F0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1836790136"/>
        <c:axId val="1836797128"/>
      </c:barChart>
      <c:dateAx>
        <c:axId val="1836794296"/>
        <c:scaling>
          <c:orientation val="minMax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836795704"/>
        <c:crosses val="autoZero"/>
        <c:auto val="1"/>
        <c:lblOffset val="100"/>
        <c:baseTimeUnit val="days"/>
      </c:dateAx>
      <c:valAx>
        <c:axId val="1836795704"/>
        <c:scaling>
          <c:orientation val="minMax"/>
          <c:min val="0.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1836794296"/>
        <c:crosses val="autoZero"/>
        <c:crossBetween val="between"/>
      </c:valAx>
      <c:valAx>
        <c:axId val="1836797128"/>
        <c:scaling>
          <c:orientation val="minMax"/>
          <c:max val="6.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1836790136"/>
        <c:crosses val="max"/>
        <c:crossBetween val="between"/>
      </c:valAx>
      <c:dateAx>
        <c:axId val="1836790136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1836797128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"/>
          <c:y val="0.016100445578174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37398098378587"/>
          <c:y val="0.197282609058995"/>
          <c:w val="0.863599047286655"/>
          <c:h val="0.70829764944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FEB!$P$52:$V$52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FEB!$P$53:$V$53</c:f>
              <c:numCache>
                <c:formatCode>General</c:formatCode>
                <c:ptCount val="7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4.0</c:v>
                </c:pt>
                <c:pt idx="6">
                  <c:v>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36-FC47-B201-EBCED449D689}"/>
            </c:ext>
          </c:extLst>
        </c:ser>
        <c:ser>
          <c:idx val="1"/>
          <c:order val="1"/>
          <c:tx>
            <c:strRef>
              <c:f>FEB!$O$54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FEB!$P$52:$V$52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FEB!$P$54:$V$54</c:f>
              <c:numCache>
                <c:formatCode>General</c:formatCode>
                <c:ptCount val="7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36-FC47-B201-EBCED449D689}"/>
            </c:ext>
          </c:extLst>
        </c:ser>
        <c:ser>
          <c:idx val="2"/>
          <c:order val="2"/>
          <c:tx>
            <c:strRef>
              <c:f>FEB!$O$55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FEB!$P$52:$V$52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FEB!$P$55:$V$55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36-FC47-B201-EBCED449D689}"/>
            </c:ext>
          </c:extLst>
        </c:ser>
        <c:ser>
          <c:idx val="4"/>
          <c:order val="3"/>
          <c:tx>
            <c:strRef>
              <c:f>FEB!$O$56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FEB!$P$52:$V$52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FEB!$P$56:$V$56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36-FC47-B201-EBCED449D689}"/>
            </c:ext>
          </c:extLst>
        </c:ser>
        <c:ser>
          <c:idx val="6"/>
          <c:order val="4"/>
          <c:tx>
            <c:strRef>
              <c:f>FEB!$O$59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FEB!$P$52:$V$52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FEB!$P$59:$V$59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336-FC47-B201-EBCED449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677672"/>
        <c:axId val="1836666728"/>
      </c:barChart>
      <c:catAx>
        <c:axId val="1836677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836666728"/>
        <c:crosses val="autoZero"/>
        <c:auto val="0"/>
        <c:lblAlgn val="ctr"/>
        <c:lblOffset val="100"/>
        <c:noMultiLvlLbl val="0"/>
      </c:catAx>
      <c:valAx>
        <c:axId val="1836666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836677672"/>
        <c:crosses val="autoZero"/>
        <c:crossBetween val="between"/>
        <c:majorUnit val="1.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"/>
          <c:w val="0.852257405751388"/>
          <c:h val="0.0627160703658705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" l="0.700000000000004" r="0.700000000000004" t="0.750000000000021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 monthly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  date</a:t>
            </a:r>
          </a:p>
        </c:rich>
      </c:tx>
      <c:layout>
        <c:manualLayout>
          <c:xMode val="edge"/>
          <c:yMode val="edge"/>
          <c:x val="0.120562605111022"/>
          <c:y val="0.32664719974798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982871397215672"/>
          <c:y val="0.0609140180360491"/>
          <c:w val="0.890845181904938"/>
          <c:h val="0.864771029434899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MAR!$C$7:$C$46</c:f>
              <c:numCache>
                <c:formatCode>d;@</c:formatCode>
                <c:ptCount val="40"/>
                <c:pt idx="0">
                  <c:v>43159.0</c:v>
                </c:pt>
                <c:pt idx="1">
                  <c:v>43160.0</c:v>
                </c:pt>
                <c:pt idx="2">
                  <c:v>43161.0</c:v>
                </c:pt>
                <c:pt idx="3">
                  <c:v>43162.0</c:v>
                </c:pt>
                <c:pt idx="4">
                  <c:v>43163.0</c:v>
                </c:pt>
                <c:pt idx="7">
                  <c:v>43164.0</c:v>
                </c:pt>
                <c:pt idx="8">
                  <c:v>43165.0</c:v>
                </c:pt>
                <c:pt idx="9">
                  <c:v>43166.0</c:v>
                </c:pt>
                <c:pt idx="10">
                  <c:v>43167.0</c:v>
                </c:pt>
                <c:pt idx="11">
                  <c:v>43168.0</c:v>
                </c:pt>
                <c:pt idx="12">
                  <c:v>43169.0</c:v>
                </c:pt>
                <c:pt idx="13">
                  <c:v>43170.0</c:v>
                </c:pt>
                <c:pt idx="16">
                  <c:v>43171.0</c:v>
                </c:pt>
                <c:pt idx="17">
                  <c:v>43172.0</c:v>
                </c:pt>
                <c:pt idx="18">
                  <c:v>43173.0</c:v>
                </c:pt>
                <c:pt idx="19">
                  <c:v>43174.0</c:v>
                </c:pt>
                <c:pt idx="20">
                  <c:v>43175.0</c:v>
                </c:pt>
                <c:pt idx="21">
                  <c:v>43176.0</c:v>
                </c:pt>
                <c:pt idx="22">
                  <c:v>43177.0</c:v>
                </c:pt>
                <c:pt idx="25">
                  <c:v>43178.0</c:v>
                </c:pt>
                <c:pt idx="26">
                  <c:v>43179.0</c:v>
                </c:pt>
                <c:pt idx="27">
                  <c:v>43180.0</c:v>
                </c:pt>
                <c:pt idx="28">
                  <c:v>43181.0</c:v>
                </c:pt>
                <c:pt idx="29">
                  <c:v>43182.0</c:v>
                </c:pt>
                <c:pt idx="30">
                  <c:v>43183.0</c:v>
                </c:pt>
                <c:pt idx="31">
                  <c:v>43184.0</c:v>
                </c:pt>
                <c:pt idx="34">
                  <c:v>43185.0</c:v>
                </c:pt>
                <c:pt idx="35">
                  <c:v>43186.0</c:v>
                </c:pt>
                <c:pt idx="36">
                  <c:v>43187.0</c:v>
                </c:pt>
                <c:pt idx="37">
                  <c:v>43188.0</c:v>
                </c:pt>
                <c:pt idx="38">
                  <c:v>43189.0</c:v>
                </c:pt>
                <c:pt idx="39">
                  <c:v>43190.0</c:v>
                </c:pt>
              </c:numCache>
            </c:numRef>
          </c:cat>
          <c:val>
            <c:numRef>
              <c:f>MAR!$Q$7:$Q$46</c:f>
              <c:numCache>
                <c:formatCode>#,##0.0</c:formatCode>
                <c:ptCount val="40"/>
                <c:pt idx="0">
                  <c:v>36.97778068204336</c:v>
                </c:pt>
                <c:pt idx="1">
                  <c:v>36.97778068204336</c:v>
                </c:pt>
                <c:pt idx="2">
                  <c:v>36.97778068204336</c:v>
                </c:pt>
                <c:pt idx="3">
                  <c:v>36.97778068204336</c:v>
                </c:pt>
                <c:pt idx="4">
                  <c:v>36.97778068204336</c:v>
                </c:pt>
                <c:pt idx="5">
                  <c:v>0.0</c:v>
                </c:pt>
                <c:pt idx="6">
                  <c:v>0.0</c:v>
                </c:pt>
                <c:pt idx="7">
                  <c:v>36.97778068204336</c:v>
                </c:pt>
                <c:pt idx="8">
                  <c:v>36.97778068204336</c:v>
                </c:pt>
                <c:pt idx="9">
                  <c:v>36.97778068204336</c:v>
                </c:pt>
                <c:pt idx="10">
                  <c:v>36.97778068204336</c:v>
                </c:pt>
                <c:pt idx="11">
                  <c:v>36.97778068204336</c:v>
                </c:pt>
                <c:pt idx="12">
                  <c:v>36.97778068204336</c:v>
                </c:pt>
                <c:pt idx="13">
                  <c:v>36.97778068204336</c:v>
                </c:pt>
                <c:pt idx="14">
                  <c:v>0.0</c:v>
                </c:pt>
                <c:pt idx="15">
                  <c:v>0.0</c:v>
                </c:pt>
                <c:pt idx="16">
                  <c:v>36.97778068204336</c:v>
                </c:pt>
                <c:pt idx="17">
                  <c:v>36.97778068204336</c:v>
                </c:pt>
                <c:pt idx="18">
                  <c:v>36.97778068204336</c:v>
                </c:pt>
                <c:pt idx="19">
                  <c:v>36.97778068204336</c:v>
                </c:pt>
                <c:pt idx="20">
                  <c:v>36.97778068204336</c:v>
                </c:pt>
                <c:pt idx="21">
                  <c:v>36.97778068204336</c:v>
                </c:pt>
                <c:pt idx="22">
                  <c:v>36.97778068204336</c:v>
                </c:pt>
                <c:pt idx="23">
                  <c:v>0.0</c:v>
                </c:pt>
                <c:pt idx="24">
                  <c:v>0.0</c:v>
                </c:pt>
                <c:pt idx="25">
                  <c:v>36.97778068204336</c:v>
                </c:pt>
                <c:pt idx="26">
                  <c:v>36.97778068204336</c:v>
                </c:pt>
                <c:pt idx="27">
                  <c:v>36.97778068204336</c:v>
                </c:pt>
                <c:pt idx="28">
                  <c:v>36.97778068204336</c:v>
                </c:pt>
                <c:pt idx="29">
                  <c:v>36.97778068204336</c:v>
                </c:pt>
                <c:pt idx="30">
                  <c:v>36.97778068204336</c:v>
                </c:pt>
                <c:pt idx="31">
                  <c:v>36.97778068204336</c:v>
                </c:pt>
                <c:pt idx="32">
                  <c:v>0.0</c:v>
                </c:pt>
                <c:pt idx="33">
                  <c:v>0.0</c:v>
                </c:pt>
                <c:pt idx="34">
                  <c:v>36.97778068204336</c:v>
                </c:pt>
                <c:pt idx="35">
                  <c:v>36.97778068204336</c:v>
                </c:pt>
                <c:pt idx="36">
                  <c:v>36.97778068204336</c:v>
                </c:pt>
                <c:pt idx="37">
                  <c:v>36.97778068204336</c:v>
                </c:pt>
                <c:pt idx="38">
                  <c:v>36.97778068204336</c:v>
                </c:pt>
                <c:pt idx="39">
                  <c:v>36.97778068204336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E6-5C4C-BB95-9140F086290F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MAR!$C$7:$C$46</c:f>
              <c:numCache>
                <c:formatCode>d;@</c:formatCode>
                <c:ptCount val="40"/>
                <c:pt idx="0">
                  <c:v>43159.0</c:v>
                </c:pt>
                <c:pt idx="1">
                  <c:v>43160.0</c:v>
                </c:pt>
                <c:pt idx="2">
                  <c:v>43161.0</c:v>
                </c:pt>
                <c:pt idx="3">
                  <c:v>43162.0</c:v>
                </c:pt>
                <c:pt idx="4">
                  <c:v>43163.0</c:v>
                </c:pt>
                <c:pt idx="7">
                  <c:v>43164.0</c:v>
                </c:pt>
                <c:pt idx="8">
                  <c:v>43165.0</c:v>
                </c:pt>
                <c:pt idx="9">
                  <c:v>43166.0</c:v>
                </c:pt>
                <c:pt idx="10">
                  <c:v>43167.0</c:v>
                </c:pt>
                <c:pt idx="11">
                  <c:v>43168.0</c:v>
                </c:pt>
                <c:pt idx="12">
                  <c:v>43169.0</c:v>
                </c:pt>
                <c:pt idx="13">
                  <c:v>43170.0</c:v>
                </c:pt>
                <c:pt idx="16">
                  <c:v>43171.0</c:v>
                </c:pt>
                <c:pt idx="17">
                  <c:v>43172.0</c:v>
                </c:pt>
                <c:pt idx="18">
                  <c:v>43173.0</c:v>
                </c:pt>
                <c:pt idx="19">
                  <c:v>43174.0</c:v>
                </c:pt>
                <c:pt idx="20">
                  <c:v>43175.0</c:v>
                </c:pt>
                <c:pt idx="21">
                  <c:v>43176.0</c:v>
                </c:pt>
                <c:pt idx="22">
                  <c:v>43177.0</c:v>
                </c:pt>
                <c:pt idx="25">
                  <c:v>43178.0</c:v>
                </c:pt>
                <c:pt idx="26">
                  <c:v>43179.0</c:v>
                </c:pt>
                <c:pt idx="27">
                  <c:v>43180.0</c:v>
                </c:pt>
                <c:pt idx="28">
                  <c:v>43181.0</c:v>
                </c:pt>
                <c:pt idx="29">
                  <c:v>43182.0</c:v>
                </c:pt>
                <c:pt idx="30">
                  <c:v>43183.0</c:v>
                </c:pt>
                <c:pt idx="31">
                  <c:v>43184.0</c:v>
                </c:pt>
                <c:pt idx="34">
                  <c:v>43185.0</c:v>
                </c:pt>
                <c:pt idx="35">
                  <c:v>43186.0</c:v>
                </c:pt>
                <c:pt idx="36">
                  <c:v>43187.0</c:v>
                </c:pt>
                <c:pt idx="37">
                  <c:v>43188.0</c:v>
                </c:pt>
                <c:pt idx="38">
                  <c:v>43189.0</c:v>
                </c:pt>
                <c:pt idx="39">
                  <c:v>43190.0</c:v>
                </c:pt>
              </c:numCache>
            </c:numRef>
          </c:cat>
          <c:val>
            <c:numRef>
              <c:f>MAR!$AB$7:$AB$46</c:f>
              <c:numCache>
                <c:formatCode>#,##0.0</c:formatCode>
                <c:ptCount val="4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E6-5C4C-BB95-9140F0862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492616"/>
        <c:axId val="1832488248"/>
      </c:lineChart>
      <c:dateAx>
        <c:axId val="1832492616"/>
        <c:scaling>
          <c:orientation val="minMax"/>
          <c:max val="43190.0"/>
          <c:min val="43159.0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832488248"/>
        <c:crosses val="autoZero"/>
        <c:auto val="1"/>
        <c:lblOffset val="100"/>
        <c:baseTimeUnit val="days"/>
      </c:dateAx>
      <c:valAx>
        <c:axId val="1832488248"/>
        <c:scaling>
          <c:orientation val="minMax"/>
          <c:min val="0.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832492616"/>
        <c:crossesAt val="42794.0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" l="0.700000000000004" r="0.700000000000004" t="0.750000000000021" header="0.3" footer="0.3"/>
    <c:pageSetup/>
  </c:printSettings>
</c:chartSpace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Radio" checked="Checked" firstButton="1" fmlaLink="$A$5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checked="Checked" firstButton="1" fmlaLink="$A$15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Relationship Id="rId3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Relationship Id="rId3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Relationship Id="rId3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Relationship Id="rId3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Relationship Id="rId2" Type="http://schemas.openxmlformats.org/officeDocument/2006/relationships/chart" Target="../charts/chart28.xml"/><Relationship Id="rId3" Type="http://schemas.openxmlformats.org/officeDocument/2006/relationships/chart" Target="../charts/chart2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Relationship Id="rId3" Type="http://schemas.openxmlformats.org/officeDocument/2006/relationships/chart" Target="../charts/chart3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Relationship Id="rId2" Type="http://schemas.openxmlformats.org/officeDocument/2006/relationships/chart" Target="../charts/chart34.xml"/><Relationship Id="rId3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Relationship Id="rId2" Type="http://schemas.openxmlformats.org/officeDocument/2006/relationships/chart" Target="../charts/chart37.xml"/><Relationship Id="rId3" Type="http://schemas.openxmlformats.org/officeDocument/2006/relationships/chart" Target="../charts/chart3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Relationship Id="rId3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Relationship Id="rId3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Relationship Id="rId3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16</xdr:row>
      <xdr:rowOff>69850</xdr:rowOff>
    </xdr:from>
    <xdr:ext cx="3225800" cy="22923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absoluteAnchor>
    <xdr:pos x="3420533" y="1725084"/>
    <xdr:ext cx="10765367" cy="4749800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3</xdr:col>
      <xdr:colOff>274320</xdr:colOff>
      <xdr:row>16</xdr:row>
      <xdr:rowOff>111760</xdr:rowOff>
    </xdr:from>
    <xdr:to>
      <xdr:col>3</xdr:col>
      <xdr:colOff>955040</xdr:colOff>
      <xdr:row>17</xdr:row>
      <xdr:rowOff>243840</xdr:rowOff>
    </xdr:to>
    <xdr:sp macro="" textlink="$F$6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590800" y="5588000"/>
          <a:ext cx="680720" cy="274320"/>
        </a:xfrm>
        <a:prstGeom prst="rect">
          <a:avLst/>
        </a:prstGeom>
        <a:solidFill>
          <a:srgbClr val="F5FF7A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B7172A8-A67D-4245-82CE-6954CBF16811}" type="TxLink">
            <a:rPr lang="en-US" sz="1400" b="0" i="0" u="none" strike="noStrike">
              <a:solidFill>
                <a:srgbClr val="000090"/>
              </a:solidFill>
              <a:latin typeface="Calibri"/>
              <a:cs typeface="Calibri"/>
            </a:rPr>
            <a:pPr algn="ctr"/>
            <a:t>(mph)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1</xdr:col>
      <xdr:colOff>284480</xdr:colOff>
      <xdr:row>21</xdr:row>
      <xdr:rowOff>125730</xdr:rowOff>
    </xdr:from>
    <xdr:to>
      <xdr:col>1</xdr:col>
      <xdr:colOff>685800</xdr:colOff>
      <xdr:row>21</xdr:row>
      <xdr:rowOff>387350</xdr:rowOff>
    </xdr:to>
    <xdr:sp macro="" textlink="$S$43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51180" y="7504430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37BB2BAB-F482-B741-A72F-8C74B1C5908A}" type="TxLink">
            <a:rPr lang="en-US" sz="1400" b="0" i="0" u="none" strike="noStrike">
              <a:solidFill>
                <a:srgbClr val="000090"/>
              </a:solidFill>
              <a:latin typeface="Calibri"/>
              <a:cs typeface="Calibri"/>
            </a:rPr>
            <a:pPr algn="ctr"/>
            <a:t>mon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1</xdr:col>
      <xdr:colOff>678180</xdr:colOff>
      <xdr:row>21</xdr:row>
      <xdr:rowOff>122555</xdr:rowOff>
    </xdr:from>
    <xdr:to>
      <xdr:col>2</xdr:col>
      <xdr:colOff>38100</xdr:colOff>
      <xdr:row>21</xdr:row>
      <xdr:rowOff>384175</xdr:rowOff>
    </xdr:to>
    <xdr:sp macro="" textlink="$T$43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944880" y="7501255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AC812765-0648-EC4A-B2ED-956341E1E45A}" type="TxLink">
            <a:rPr lang="en-US" sz="1400" b="0">
              <a:solidFill>
                <a:srgbClr val="000090"/>
              </a:solidFill>
            </a:rPr>
            <a:pPr algn="ctr"/>
            <a:t>tue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2</xdr:col>
      <xdr:colOff>36830</xdr:colOff>
      <xdr:row>21</xdr:row>
      <xdr:rowOff>125730</xdr:rowOff>
    </xdr:from>
    <xdr:to>
      <xdr:col>2</xdr:col>
      <xdr:colOff>438150</xdr:colOff>
      <xdr:row>21</xdr:row>
      <xdr:rowOff>387350</xdr:rowOff>
    </xdr:to>
    <xdr:sp macro="" textlink="$U$43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344930" y="7504430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25B5C2B8-9AE9-804E-96DE-2777A1256322}" type="TxLink">
            <a:rPr lang="en-US" sz="1400" b="0">
              <a:solidFill>
                <a:srgbClr val="000090"/>
              </a:solidFill>
            </a:rPr>
            <a:pPr algn="ctr"/>
            <a:t> 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2</xdr:col>
      <xdr:colOff>430530</xdr:colOff>
      <xdr:row>21</xdr:row>
      <xdr:rowOff>125730</xdr:rowOff>
    </xdr:from>
    <xdr:to>
      <xdr:col>2</xdr:col>
      <xdr:colOff>831850</xdr:colOff>
      <xdr:row>21</xdr:row>
      <xdr:rowOff>387350</xdr:rowOff>
    </xdr:to>
    <xdr:sp macro="" textlink="$V$43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738630" y="7504430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E4AF4499-F17B-F146-A2A4-B8D867BC659B}" type="TxLink">
            <a:rPr lang="en-US" sz="1400" b="0">
              <a:solidFill>
                <a:srgbClr val="000090"/>
              </a:solidFill>
            </a:rPr>
            <a:pPr algn="ctr"/>
            <a:t>thu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2</xdr:col>
      <xdr:colOff>824230</xdr:colOff>
      <xdr:row>21</xdr:row>
      <xdr:rowOff>125730</xdr:rowOff>
    </xdr:from>
    <xdr:to>
      <xdr:col>3</xdr:col>
      <xdr:colOff>222250</xdr:colOff>
      <xdr:row>21</xdr:row>
      <xdr:rowOff>387350</xdr:rowOff>
    </xdr:to>
    <xdr:sp macro="" textlink="$W$43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2132330" y="7504430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298FFBB5-FC69-3541-BCFB-D61FC25A620C}" type="TxLink">
            <a:rPr lang="en-US" sz="1400" b="0">
              <a:solidFill>
                <a:srgbClr val="000090"/>
              </a:solidFill>
            </a:rPr>
            <a:pPr algn="ctr"/>
            <a:t>fri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3</xdr:col>
      <xdr:colOff>214630</xdr:colOff>
      <xdr:row>21</xdr:row>
      <xdr:rowOff>125730</xdr:rowOff>
    </xdr:from>
    <xdr:to>
      <xdr:col>3</xdr:col>
      <xdr:colOff>615950</xdr:colOff>
      <xdr:row>21</xdr:row>
      <xdr:rowOff>387350</xdr:rowOff>
    </xdr:to>
    <xdr:sp macro="" textlink="$X$43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2526030" y="7504430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73AE39EA-36C7-1A4F-B91F-BD024CAFB5A6}" type="TxLink">
            <a:rPr lang="en-US" sz="1400" b="0" i="0" u="none" strike="noStrike">
              <a:solidFill>
                <a:srgbClr val="000090"/>
              </a:solidFill>
              <a:latin typeface="Calibri"/>
              <a:cs typeface="Calibri"/>
            </a:rPr>
            <a:pPr algn="ctr"/>
            <a:t>sat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3</xdr:col>
      <xdr:colOff>624205</xdr:colOff>
      <xdr:row>21</xdr:row>
      <xdr:rowOff>125730</xdr:rowOff>
    </xdr:from>
    <xdr:to>
      <xdr:col>3</xdr:col>
      <xdr:colOff>1025525</xdr:colOff>
      <xdr:row>21</xdr:row>
      <xdr:rowOff>387350</xdr:rowOff>
    </xdr:to>
    <xdr:sp macro="" textlink="$Y$43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2935605" y="7504430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45591C41-C844-4947-993D-84EE1E5C7B56}" type="TxLink">
            <a:rPr lang="en-US" sz="1400" b="0">
              <a:solidFill>
                <a:srgbClr val="000090"/>
              </a:solidFill>
            </a:rPr>
            <a:pPr algn="ctr"/>
            <a:t>sun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1</xdr:col>
      <xdr:colOff>285750</xdr:colOff>
      <xdr:row>21</xdr:row>
      <xdr:rowOff>104775</xdr:rowOff>
    </xdr:from>
    <xdr:to>
      <xdr:col>1</xdr:col>
      <xdr:colOff>687070</xdr:colOff>
      <xdr:row>21</xdr:row>
      <xdr:rowOff>366395</xdr:rowOff>
    </xdr:to>
    <xdr:sp macro="" textlink="$S$44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552450" y="7483475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952A6B04-619B-9C48-AB05-E51019237550}" type="TxLink">
            <a:rPr lang="en-US" sz="1800" b="0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682625</xdr:colOff>
      <xdr:row>21</xdr:row>
      <xdr:rowOff>107950</xdr:rowOff>
    </xdr:from>
    <xdr:to>
      <xdr:col>2</xdr:col>
      <xdr:colOff>42545</xdr:colOff>
      <xdr:row>21</xdr:row>
      <xdr:rowOff>369570</xdr:rowOff>
    </xdr:to>
    <xdr:sp macro="" textlink="$T$44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949325" y="7486650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98E6DD81-F9C9-764A-A750-9A98B52BCFD3}" type="TxLink">
            <a:rPr lang="en-US" sz="1800" b="0">
              <a:solidFill>
                <a:srgbClr val="FF0000"/>
              </a:solidFill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31750</xdr:colOff>
      <xdr:row>21</xdr:row>
      <xdr:rowOff>107950</xdr:rowOff>
    </xdr:from>
    <xdr:to>
      <xdr:col>2</xdr:col>
      <xdr:colOff>433070</xdr:colOff>
      <xdr:row>21</xdr:row>
      <xdr:rowOff>369570</xdr:rowOff>
    </xdr:to>
    <xdr:sp macro="" textlink="$U$44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1339850" y="7486650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94423DD8-5783-E74B-B88E-CDF434606F8E}" type="TxLink">
            <a:rPr lang="en-US" sz="1800" b="0">
              <a:solidFill>
                <a:srgbClr val="FF0000"/>
              </a:solidFill>
            </a:rPr>
            <a:pPr algn="ctr"/>
            <a:t>wed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434975</xdr:colOff>
      <xdr:row>21</xdr:row>
      <xdr:rowOff>104775</xdr:rowOff>
    </xdr:from>
    <xdr:to>
      <xdr:col>2</xdr:col>
      <xdr:colOff>836295</xdr:colOff>
      <xdr:row>21</xdr:row>
      <xdr:rowOff>366395</xdr:rowOff>
    </xdr:to>
    <xdr:sp macro="" textlink="$V$44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743075" y="7483475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2B559A39-23AF-F245-930F-29255D6C0A18}" type="TxLink">
            <a:rPr lang="en-US" sz="1800" b="0">
              <a:solidFill>
                <a:srgbClr val="FF0000"/>
              </a:solidFill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831850</xdr:colOff>
      <xdr:row>21</xdr:row>
      <xdr:rowOff>104775</xdr:rowOff>
    </xdr:from>
    <xdr:to>
      <xdr:col>3</xdr:col>
      <xdr:colOff>229870</xdr:colOff>
      <xdr:row>21</xdr:row>
      <xdr:rowOff>366395</xdr:rowOff>
    </xdr:to>
    <xdr:sp macro="" textlink="$W$44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2139950" y="7483475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D9B7DDE5-BFB5-6C44-BEEC-2D81467F25B4}" type="TxLink">
            <a:rPr lang="en-US" sz="1800" b="0">
              <a:solidFill>
                <a:srgbClr val="FF0000"/>
              </a:solidFill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231775</xdr:colOff>
      <xdr:row>21</xdr:row>
      <xdr:rowOff>104775</xdr:rowOff>
    </xdr:from>
    <xdr:to>
      <xdr:col>3</xdr:col>
      <xdr:colOff>633095</xdr:colOff>
      <xdr:row>21</xdr:row>
      <xdr:rowOff>366395</xdr:rowOff>
    </xdr:to>
    <xdr:sp macro="" textlink="$X$44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2543175" y="7483475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79F8F6B8-5A81-BE46-AB6B-54C91869BEF6}" type="TxLink">
            <a:rPr lang="en-US" sz="1800" b="0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628650</xdr:colOff>
      <xdr:row>21</xdr:row>
      <xdr:rowOff>104775</xdr:rowOff>
    </xdr:from>
    <xdr:to>
      <xdr:col>4</xdr:col>
      <xdr:colOff>1270</xdr:colOff>
      <xdr:row>21</xdr:row>
      <xdr:rowOff>366395</xdr:rowOff>
    </xdr:to>
    <xdr:sp macro="" textlink="$Y$44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2940050" y="7483475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B3D08E6D-E313-BF47-A37B-7A9074EE8ABE}" type="TxLink">
            <a:rPr lang="en-US" sz="1800" b="0">
              <a:solidFill>
                <a:srgbClr val="FF0000"/>
              </a:solidFill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13</xdr:row>
          <xdr:rowOff>63500</xdr:rowOff>
        </xdr:from>
        <xdr:to>
          <xdr:col>1</xdr:col>
          <xdr:colOff>596900</xdr:colOff>
          <xdr:row>15</xdr:row>
          <xdr:rowOff>406400</xdr:rowOff>
        </xdr:to>
        <xdr:sp macro="" textlink="">
          <xdr:nvSpPr>
            <xdr:cNvPr id="4109" name="Control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5</xdr:row>
          <xdr:rowOff>12700</xdr:rowOff>
        </xdr:from>
        <xdr:to>
          <xdr:col>1</xdr:col>
          <xdr:colOff>368300</xdr:colOff>
          <xdr:row>5</xdr:row>
          <xdr:rowOff>330200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5</xdr:row>
          <xdr:rowOff>12700</xdr:rowOff>
        </xdr:from>
        <xdr:to>
          <xdr:col>2</xdr:col>
          <xdr:colOff>368300</xdr:colOff>
          <xdr:row>5</xdr:row>
          <xdr:rowOff>330200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5</xdr:row>
          <xdr:rowOff>12700</xdr:rowOff>
        </xdr:from>
        <xdr:to>
          <xdr:col>3</xdr:col>
          <xdr:colOff>330200</xdr:colOff>
          <xdr:row>5</xdr:row>
          <xdr:rowOff>330200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</xdr:row>
          <xdr:rowOff>76200</xdr:rowOff>
        </xdr:from>
        <xdr:to>
          <xdr:col>1</xdr:col>
          <xdr:colOff>533400</xdr:colOff>
          <xdr:row>13</xdr:row>
          <xdr:rowOff>393700</xdr:rowOff>
        </xdr:to>
        <xdr:sp macro="" textlink="">
          <xdr:nvSpPr>
            <xdr:cNvPr id="4105" name="Control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25400</xdr:rowOff>
        </xdr:from>
        <xdr:to>
          <xdr:col>1</xdr:col>
          <xdr:colOff>520700</xdr:colOff>
          <xdr:row>14</xdr:row>
          <xdr:rowOff>406400</xdr:rowOff>
        </xdr:to>
        <xdr:sp macro="" textlink="">
          <xdr:nvSpPr>
            <xdr:cNvPr id="4106" name="Control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25400</xdr:rowOff>
        </xdr:from>
        <xdr:to>
          <xdr:col>1</xdr:col>
          <xdr:colOff>520700</xdr:colOff>
          <xdr:row>15</xdr:row>
          <xdr:rowOff>368300</xdr:rowOff>
        </xdr:to>
        <xdr:sp macro="" textlink="">
          <xdr:nvSpPr>
            <xdr:cNvPr id="4107" name="Control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each day                                                </a:t>
          </a:r>
          <a:r>
            <a:rPr lang="en-GB" sz="2000" b="0">
              <a:solidFill>
                <a:srgbClr val="002B82"/>
              </a:solidFill>
            </a:rPr>
            <a:t>Daily Average 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20609</xdr:colOff>
      <xdr:row>40</xdr:row>
      <xdr:rowOff>183725</xdr:rowOff>
    </xdr:from>
    <xdr:to>
      <xdr:col>26</xdr:col>
      <xdr:colOff>609600</xdr:colOff>
      <xdr:row>59</xdr:row>
      <xdr:rowOff>16934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5930</xdr:colOff>
      <xdr:row>0</xdr:row>
      <xdr:rowOff>33868</xdr:rowOff>
    </xdr:from>
    <xdr:to>
      <xdr:col>26</xdr:col>
      <xdr:colOff>613836</xdr:colOff>
      <xdr:row>20</xdr:row>
      <xdr:rowOff>8468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5927</xdr:colOff>
      <xdr:row>20</xdr:row>
      <xdr:rowOff>9314</xdr:rowOff>
    </xdr:from>
    <xdr:to>
      <xdr:col>26</xdr:col>
      <xdr:colOff>618914</xdr:colOff>
      <xdr:row>40</xdr:row>
      <xdr:rowOff>199813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each day                                                </a:t>
          </a:r>
          <a:r>
            <a:rPr lang="en-GB" sz="2000" b="0">
              <a:solidFill>
                <a:srgbClr val="002B82"/>
              </a:solidFill>
            </a:rPr>
            <a:t>Daily Average 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20609</xdr:colOff>
      <xdr:row>40</xdr:row>
      <xdr:rowOff>183726</xdr:rowOff>
    </xdr:from>
    <xdr:to>
      <xdr:col>26</xdr:col>
      <xdr:colOff>626533</xdr:colOff>
      <xdr:row>59</xdr:row>
      <xdr:rowOff>21167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39794</xdr:colOff>
      <xdr:row>0</xdr:row>
      <xdr:rowOff>16932</xdr:rowOff>
    </xdr:from>
    <xdr:to>
      <xdr:col>26</xdr:col>
      <xdr:colOff>647700</xdr:colOff>
      <xdr:row>20</xdr:row>
      <xdr:rowOff>25398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22860</xdr:colOff>
      <xdr:row>20</xdr:row>
      <xdr:rowOff>30481</xdr:rowOff>
    </xdr:from>
    <xdr:to>
      <xdr:col>26</xdr:col>
      <xdr:colOff>635847</xdr:colOff>
      <xdr:row>40</xdr:row>
      <xdr:rowOff>187114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each day                                                </a:t>
          </a:r>
          <a:r>
            <a:rPr lang="en-GB" sz="2000" b="0">
              <a:solidFill>
                <a:srgbClr val="002B82"/>
              </a:solidFill>
            </a:rPr>
            <a:t>Daily Average 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3676</xdr:colOff>
      <xdr:row>40</xdr:row>
      <xdr:rowOff>187958</xdr:rowOff>
    </xdr:from>
    <xdr:to>
      <xdr:col>26</xdr:col>
      <xdr:colOff>581660</xdr:colOff>
      <xdr:row>59</xdr:row>
      <xdr:rowOff>19899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992294</xdr:colOff>
      <xdr:row>0</xdr:row>
      <xdr:rowOff>0</xdr:rowOff>
    </xdr:from>
    <xdr:to>
      <xdr:col>26</xdr:col>
      <xdr:colOff>592666</xdr:colOff>
      <xdr:row>19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992293</xdr:colOff>
      <xdr:row>20</xdr:row>
      <xdr:rowOff>5080</xdr:rowOff>
    </xdr:from>
    <xdr:to>
      <xdr:col>26</xdr:col>
      <xdr:colOff>597746</xdr:colOff>
      <xdr:row>41</xdr:row>
      <xdr:rowOff>9312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each day                                                </a:t>
          </a:r>
          <a:r>
            <a:rPr lang="en-GB" sz="2000" b="0">
              <a:solidFill>
                <a:srgbClr val="002B82"/>
              </a:solidFill>
            </a:rPr>
            <a:t>Daily Average 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985810</xdr:colOff>
      <xdr:row>40</xdr:row>
      <xdr:rowOff>175259</xdr:rowOff>
    </xdr:from>
    <xdr:to>
      <xdr:col>26</xdr:col>
      <xdr:colOff>605367</xdr:colOff>
      <xdr:row>59</xdr:row>
      <xdr:rowOff>16933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992295</xdr:colOff>
      <xdr:row>0</xdr:row>
      <xdr:rowOff>33865</xdr:rowOff>
    </xdr:from>
    <xdr:to>
      <xdr:col>26</xdr:col>
      <xdr:colOff>592667</xdr:colOff>
      <xdr:row>20</xdr:row>
      <xdr:rowOff>25398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988060</xdr:colOff>
      <xdr:row>19</xdr:row>
      <xdr:rowOff>199813</xdr:rowOff>
    </xdr:from>
    <xdr:to>
      <xdr:col>26</xdr:col>
      <xdr:colOff>601980</xdr:colOff>
      <xdr:row>40</xdr:row>
      <xdr:rowOff>170179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each day                                                </a:t>
          </a:r>
          <a:r>
            <a:rPr lang="en-GB" sz="2000" b="0">
              <a:solidFill>
                <a:srgbClr val="002B82"/>
              </a:solidFill>
            </a:rPr>
            <a:t>Daily Average 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3676</xdr:colOff>
      <xdr:row>40</xdr:row>
      <xdr:rowOff>179494</xdr:rowOff>
    </xdr:from>
    <xdr:to>
      <xdr:col>26</xdr:col>
      <xdr:colOff>609600</xdr:colOff>
      <xdr:row>59</xdr:row>
      <xdr:rowOff>16933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22860</xdr:colOff>
      <xdr:row>0</xdr:row>
      <xdr:rowOff>16933</xdr:rowOff>
    </xdr:from>
    <xdr:to>
      <xdr:col>26</xdr:col>
      <xdr:colOff>630766</xdr:colOff>
      <xdr:row>20</xdr:row>
      <xdr:rowOff>8466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5927</xdr:colOff>
      <xdr:row>19</xdr:row>
      <xdr:rowOff>199813</xdr:rowOff>
    </xdr:from>
    <xdr:to>
      <xdr:col>26</xdr:col>
      <xdr:colOff>618914</xdr:colOff>
      <xdr:row>40</xdr:row>
      <xdr:rowOff>170179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0.17277</cdr:x>
      <cdr:y>0.01264</cdr:y>
    </cdr:from>
    <cdr:to>
      <cdr:x>0.89433</cdr:x>
      <cdr:y>0.06779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88552" y="59089"/>
          <a:ext cx="7052121" cy="257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r>
            <a:rPr lang="en-GB" sz="1600" b="1">
              <a:solidFill>
                <a:sysClr val="windowText" lastClr="000000"/>
              </a:solidFill>
            </a:rPr>
            <a:t>keep up with the </a:t>
          </a:r>
          <a:r>
            <a:rPr lang="en-GB" sz="1800" b="1" u="none">
              <a:solidFill>
                <a:sysClr val="windowText" lastClr="000000"/>
              </a:solidFill>
            </a:rPr>
            <a:t>"</a:t>
          </a:r>
          <a:r>
            <a:rPr lang="en-GB" sz="1800" b="1" u="none">
              <a:solidFill>
                <a:srgbClr val="0043C8"/>
              </a:solidFill>
            </a:rPr>
            <a:t>swim line</a:t>
          </a:r>
          <a:r>
            <a:rPr lang="en-GB" sz="1800" b="1" u="none">
              <a:solidFill>
                <a:sysClr val="windowText" lastClr="000000"/>
              </a:solidFill>
            </a:rPr>
            <a:t>" </a:t>
          </a:r>
          <a:r>
            <a:rPr lang="en-GB" sz="1600" b="1">
              <a:solidFill>
                <a:sysClr val="windowText" lastClr="000000"/>
              </a:solidFill>
            </a:rPr>
            <a:t>to reach your </a:t>
          </a:r>
          <a:r>
            <a:rPr lang="en-GB" sz="1600" b="1">
              <a:solidFill>
                <a:srgbClr val="FF0000"/>
              </a:solidFill>
            </a:rPr>
            <a:t>target!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each day                                                </a:t>
          </a:r>
          <a:r>
            <a:rPr lang="en-GB" sz="2000" b="0">
              <a:solidFill>
                <a:srgbClr val="002B82"/>
              </a:solidFill>
            </a:rPr>
            <a:t>Daily Average 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20608</xdr:colOff>
      <xdr:row>41</xdr:row>
      <xdr:rowOff>50799</xdr:rowOff>
    </xdr:from>
    <xdr:to>
      <xdr:col>26</xdr:col>
      <xdr:colOff>626533</xdr:colOff>
      <xdr:row>59</xdr:row>
      <xdr:rowOff>11431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10161</xdr:colOff>
      <xdr:row>0</xdr:row>
      <xdr:rowOff>50799</xdr:rowOff>
    </xdr:from>
    <xdr:to>
      <xdr:col>26</xdr:col>
      <xdr:colOff>609600</xdr:colOff>
      <xdr:row>20</xdr:row>
      <xdr:rowOff>42332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18627</xdr:colOff>
      <xdr:row>20</xdr:row>
      <xdr:rowOff>845</xdr:rowOff>
    </xdr:from>
    <xdr:to>
      <xdr:col>26</xdr:col>
      <xdr:colOff>623147</xdr:colOff>
      <xdr:row>41</xdr:row>
      <xdr:rowOff>38944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each day                                                </a:t>
          </a:r>
          <a:r>
            <a:rPr lang="en-GB" sz="2000" b="0">
              <a:solidFill>
                <a:srgbClr val="002B82"/>
              </a:solidFill>
            </a:rPr>
            <a:t>Daily Average 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17571</xdr:colOff>
      <xdr:row>41</xdr:row>
      <xdr:rowOff>33867</xdr:rowOff>
    </xdr:from>
    <xdr:to>
      <xdr:col>26</xdr:col>
      <xdr:colOff>626533</xdr:colOff>
      <xdr:row>59</xdr:row>
      <xdr:rowOff>24971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10162</xdr:colOff>
      <xdr:row>0</xdr:row>
      <xdr:rowOff>50802</xdr:rowOff>
    </xdr:from>
    <xdr:to>
      <xdr:col>26</xdr:col>
      <xdr:colOff>618068</xdr:colOff>
      <xdr:row>20</xdr:row>
      <xdr:rowOff>42335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10158</xdr:colOff>
      <xdr:row>20</xdr:row>
      <xdr:rowOff>34712</xdr:rowOff>
    </xdr:from>
    <xdr:to>
      <xdr:col>26</xdr:col>
      <xdr:colOff>623145</xdr:colOff>
      <xdr:row>41</xdr:row>
      <xdr:rowOff>22011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each day                                                </a:t>
          </a:r>
          <a:r>
            <a:rPr lang="en-GB" sz="2000" b="0">
              <a:solidFill>
                <a:srgbClr val="002B82"/>
              </a:solidFill>
            </a:rPr>
            <a:t>Daily Average 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3677</xdr:colOff>
      <xdr:row>40</xdr:row>
      <xdr:rowOff>183724</xdr:rowOff>
    </xdr:from>
    <xdr:to>
      <xdr:col>26</xdr:col>
      <xdr:colOff>596901</xdr:colOff>
      <xdr:row>59</xdr:row>
      <xdr:rowOff>16932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992294</xdr:colOff>
      <xdr:row>0</xdr:row>
      <xdr:rowOff>0</xdr:rowOff>
    </xdr:from>
    <xdr:to>
      <xdr:col>26</xdr:col>
      <xdr:colOff>601133</xdr:colOff>
      <xdr:row>19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992293</xdr:colOff>
      <xdr:row>19</xdr:row>
      <xdr:rowOff>182879</xdr:rowOff>
    </xdr:from>
    <xdr:to>
      <xdr:col>26</xdr:col>
      <xdr:colOff>606213</xdr:colOff>
      <xdr:row>40</xdr:row>
      <xdr:rowOff>170178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each day                                                </a:t>
          </a:r>
          <a:r>
            <a:rPr lang="en-GB" sz="2000" b="0">
              <a:solidFill>
                <a:srgbClr val="002B82"/>
              </a:solidFill>
            </a:rPr>
            <a:t>Daily Average 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23881</xdr:colOff>
      <xdr:row>40</xdr:row>
      <xdr:rowOff>207712</xdr:rowOff>
    </xdr:from>
    <xdr:to>
      <xdr:col>26</xdr:col>
      <xdr:colOff>639042</xdr:colOff>
      <xdr:row>59</xdr:row>
      <xdr:rowOff>27902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32991</xdr:colOff>
      <xdr:row>0</xdr:row>
      <xdr:rowOff>29882</xdr:rowOff>
    </xdr:from>
    <xdr:to>
      <xdr:col>26</xdr:col>
      <xdr:colOff>658406</xdr:colOff>
      <xdr:row>20</xdr:row>
      <xdr:rowOff>39933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27989</xdr:colOff>
      <xdr:row>20</xdr:row>
      <xdr:rowOff>49518</xdr:rowOff>
    </xdr:from>
    <xdr:to>
      <xdr:col>26</xdr:col>
      <xdr:colOff>654445</xdr:colOff>
      <xdr:row>40</xdr:row>
      <xdr:rowOff>199937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each day                                                </a:t>
          </a:r>
          <a:r>
            <a:rPr lang="en-GB" sz="2000" b="0">
              <a:solidFill>
                <a:srgbClr val="002B82"/>
              </a:solidFill>
            </a:rPr>
            <a:t>Daily Average 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8852</xdr:colOff>
      <xdr:row>41</xdr:row>
      <xdr:rowOff>3809</xdr:rowOff>
    </xdr:from>
    <xdr:to>
      <xdr:col>26</xdr:col>
      <xdr:colOff>626534</xdr:colOff>
      <xdr:row>59</xdr:row>
      <xdr:rowOff>11242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5929</xdr:colOff>
      <xdr:row>0</xdr:row>
      <xdr:rowOff>0</xdr:rowOff>
    </xdr:from>
    <xdr:to>
      <xdr:col>26</xdr:col>
      <xdr:colOff>626533</xdr:colOff>
      <xdr:row>19</xdr:row>
      <xdr:rowOff>176646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19202</xdr:colOff>
      <xdr:row>19</xdr:row>
      <xdr:rowOff>194234</xdr:rowOff>
    </xdr:from>
    <xdr:to>
      <xdr:col>26</xdr:col>
      <xdr:colOff>643465</xdr:colOff>
      <xdr:row>40</xdr:row>
      <xdr:rowOff>180379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each day                                                </a:t>
          </a:r>
          <a:r>
            <a:rPr lang="en-GB" sz="2000" b="0">
              <a:solidFill>
                <a:srgbClr val="002B82"/>
              </a:solidFill>
            </a:rPr>
            <a:t>Daily Average 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3472</xdr:colOff>
      <xdr:row>40</xdr:row>
      <xdr:rowOff>157355</xdr:rowOff>
    </xdr:from>
    <xdr:to>
      <xdr:col>26</xdr:col>
      <xdr:colOff>575732</xdr:colOff>
      <xdr:row>59</xdr:row>
      <xdr:rowOff>16934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992957</xdr:colOff>
      <xdr:row>0</xdr:row>
      <xdr:rowOff>33867</xdr:rowOff>
    </xdr:from>
    <xdr:to>
      <xdr:col>26</xdr:col>
      <xdr:colOff>575732</xdr:colOff>
      <xdr:row>20</xdr:row>
      <xdr:rowOff>25401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991529</xdr:colOff>
      <xdr:row>19</xdr:row>
      <xdr:rowOff>191705</xdr:rowOff>
    </xdr:from>
    <xdr:to>
      <xdr:col>26</xdr:col>
      <xdr:colOff>569747</xdr:colOff>
      <xdr:row>40</xdr:row>
      <xdr:rowOff>159418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each day                                                </a:t>
          </a:r>
          <a:r>
            <a:rPr lang="en-GB" sz="2000" b="0">
              <a:solidFill>
                <a:srgbClr val="002B82"/>
              </a:solidFill>
            </a:rPr>
            <a:t>Daily Average 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20609</xdr:colOff>
      <xdr:row>41</xdr:row>
      <xdr:rowOff>5926</xdr:rowOff>
    </xdr:from>
    <xdr:to>
      <xdr:col>26</xdr:col>
      <xdr:colOff>639233</xdr:colOff>
      <xdr:row>59</xdr:row>
      <xdr:rowOff>36834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39795</xdr:colOff>
      <xdr:row>0</xdr:row>
      <xdr:rowOff>33866</xdr:rowOff>
    </xdr:from>
    <xdr:to>
      <xdr:col>26</xdr:col>
      <xdr:colOff>647701</xdr:colOff>
      <xdr:row>20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22859</xdr:colOff>
      <xdr:row>20</xdr:row>
      <xdr:rowOff>30481</xdr:rowOff>
    </xdr:from>
    <xdr:to>
      <xdr:col>26</xdr:col>
      <xdr:colOff>635846</xdr:colOff>
      <xdr:row>41</xdr:row>
      <xdr:rowOff>846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BL71"/>
  <sheetViews>
    <sheetView tabSelected="1" zoomScale="75" zoomScaleNormal="75" zoomScalePageLayoutView="75" workbookViewId="0">
      <selection activeCell="I2" sqref="I2"/>
    </sheetView>
  </sheetViews>
  <sheetFormatPr baseColWidth="10" defaultColWidth="8.83203125" defaultRowHeight="15" x14ac:dyDescent="0"/>
  <cols>
    <col min="1" max="1" width="3.5" style="3" customWidth="1"/>
    <col min="2" max="2" width="13.6640625" style="3" customWidth="1"/>
    <col min="3" max="3" width="13.1640625" style="3" customWidth="1"/>
    <col min="4" max="4" width="13.5" style="3" customWidth="1"/>
    <col min="5" max="5" width="0.83203125" style="3" customWidth="1"/>
    <col min="6" max="6" width="11.83203125" style="3" customWidth="1"/>
    <col min="7" max="7" width="11.83203125" style="8" customWidth="1"/>
    <col min="8" max="17" width="11.83203125" style="3" customWidth="1"/>
    <col min="18" max="18" width="1" style="3" customWidth="1"/>
    <col min="19" max="21" width="10.1640625" style="8" customWidth="1"/>
    <col min="22" max="22" width="11.1640625" style="8" customWidth="1"/>
    <col min="23" max="24" width="9.6640625" style="8" customWidth="1"/>
    <col min="25" max="25" width="10" style="3" customWidth="1"/>
    <col min="26" max="26" width="9.5" style="3" bestFit="1" customWidth="1"/>
    <col min="27" max="27" width="11.6640625" style="3" bestFit="1" customWidth="1"/>
    <col min="28" max="28" width="14.6640625" style="3" customWidth="1"/>
    <col min="29" max="29" width="12.1640625" style="3" bestFit="1" customWidth="1"/>
    <col min="30" max="51" width="8.83203125" style="3"/>
    <col min="52" max="52" width="12.83203125" style="3" customWidth="1"/>
    <col min="53" max="16384" width="8.83203125" style="3"/>
  </cols>
  <sheetData>
    <row r="1" spans="1:24" ht="7.5" customHeight="1" thickBot="1">
      <c r="A1" s="290"/>
      <c r="B1" s="291"/>
      <c r="C1" s="291"/>
      <c r="D1" s="291"/>
      <c r="E1" s="291"/>
      <c r="F1" s="291"/>
      <c r="G1" s="292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3"/>
    </row>
    <row r="2" spans="1:24" ht="33" customHeight="1" thickTop="1" thickBot="1">
      <c r="A2" s="294"/>
      <c r="B2" s="355">
        <v>2018</v>
      </c>
      <c r="C2" s="377" t="s">
        <v>104</v>
      </c>
      <c r="D2" s="378"/>
      <c r="E2" s="105"/>
      <c r="F2" s="391" t="str">
        <f xml:space="preserve"> IF(COUNTBLANK(I2:M2)=0,"","choose your own venue codes to use         on the data input sheets    :-         ")</f>
        <v xml:space="preserve">choose your own venue codes to use         on the data input sheets    :-         </v>
      </c>
      <c r="G2" s="392"/>
      <c r="H2" s="393"/>
      <c r="I2" s="371"/>
      <c r="J2" s="372"/>
      <c r="K2" s="372"/>
      <c r="L2" s="372"/>
      <c r="M2" s="373"/>
      <c r="N2" s="289" t="str">
        <f>CONCATENATE("swims   not     timed ",":-   ",AL42)</f>
        <v>swims   not     timed :-   0</v>
      </c>
      <c r="O2" s="420" t="s">
        <v>147</v>
      </c>
      <c r="P2" s="421"/>
      <c r="Q2" s="375" t="str">
        <f>CONCATENATE(INT(AK43),":",INT(MOD(AK43,1)*24),":",INT(MOD(MOD(AK43,1)*24,1)*60))</f>
        <v>0:0:0</v>
      </c>
      <c r="R2" s="295"/>
      <c r="U2" s="216"/>
      <c r="V2" s="216"/>
      <c r="W2" s="3"/>
      <c r="X2" s="3"/>
    </row>
    <row r="3" spans="1:24" ht="7" customHeight="1" thickBot="1">
      <c r="A3" s="294"/>
      <c r="B3" s="122"/>
      <c r="C3" s="379"/>
      <c r="D3" s="380"/>
      <c r="E3" s="105"/>
      <c r="F3" s="123"/>
      <c r="G3" s="124"/>
      <c r="H3" s="124"/>
      <c r="I3" s="145"/>
      <c r="J3" s="125"/>
      <c r="K3" s="125"/>
      <c r="L3" s="125"/>
      <c r="M3" s="125"/>
      <c r="N3" s="125"/>
      <c r="O3" s="125"/>
      <c r="P3" s="125"/>
      <c r="Q3" s="126"/>
      <c r="R3" s="295"/>
      <c r="W3" s="3"/>
      <c r="X3" s="3"/>
    </row>
    <row r="4" spans="1:24" ht="22" customHeight="1" thickTop="1">
      <c r="A4" s="294"/>
      <c r="B4" s="122"/>
      <c r="C4" s="379"/>
      <c r="D4" s="380"/>
      <c r="E4" s="105"/>
      <c r="F4" s="175" t="s">
        <v>117</v>
      </c>
      <c r="G4" s="177" t="str">
        <f t="shared" ref="G4" si="0">IF(G6="","",IF(G6&gt;0,"1st",""))</f>
        <v/>
      </c>
      <c r="H4" s="178" t="str">
        <f>IF(H6="","",IF(H6&gt;0,"2nd",""))</f>
        <v/>
      </c>
      <c r="I4" s="179" t="str">
        <f>IF(I6="","",IF(I6&gt;0,"3rd",""))</f>
        <v/>
      </c>
      <c r="J4" s="180" t="str">
        <f>IF(J6="","",IF(J6&gt;0,"4th",""))</f>
        <v/>
      </c>
      <c r="K4" s="181" t="str">
        <f>IF(K6="","",IF(K6&gt;0,"5th",""))</f>
        <v/>
      </c>
      <c r="L4" s="175" t="s">
        <v>118</v>
      </c>
      <c r="M4" s="177" t="str">
        <f t="shared" ref="M4" si="1">IF(M6="","",IF(M6&gt;0,"1st",""))</f>
        <v/>
      </c>
      <c r="N4" s="178" t="str">
        <f>IF(N6="","",IF(N6&gt;0,"2nd",""))</f>
        <v/>
      </c>
      <c r="O4" s="179" t="str">
        <f>IF(O6="","",IF(O6&gt;0,"3rd",""))</f>
        <v/>
      </c>
      <c r="P4" s="180" t="str">
        <f>IF(P6="","",IF(P6&gt;0,"4th",""))</f>
        <v/>
      </c>
      <c r="Q4" s="181" t="str">
        <f>IF(Q6="","",IF(Q6&gt;0,"5th",""))</f>
        <v/>
      </c>
      <c r="R4" s="295"/>
      <c r="W4" s="3"/>
      <c r="X4" s="3"/>
    </row>
    <row r="5" spans="1:24" ht="33" customHeight="1" thickBot="1">
      <c r="A5" s="296">
        <v>1</v>
      </c>
      <c r="B5" s="383">
        <v>365</v>
      </c>
      <c r="C5" s="384"/>
      <c r="D5" s="385"/>
      <c r="E5" s="297">
        <f>A15</f>
        <v>1</v>
      </c>
      <c r="F5" s="281" t="s">
        <v>119</v>
      </c>
      <c r="G5" s="188" t="str">
        <f>AS42</f>
        <v/>
      </c>
      <c r="H5" s="186" t="str">
        <f>AT42</f>
        <v/>
      </c>
      <c r="I5" s="146" t="str">
        <f>AU42</f>
        <v/>
      </c>
      <c r="J5" s="184" t="str">
        <f>AV42</f>
        <v/>
      </c>
      <c r="K5" s="148" t="str">
        <f>AW42</f>
        <v/>
      </c>
      <c r="L5" s="281" t="s">
        <v>119</v>
      </c>
      <c r="M5" s="192" t="str">
        <f>AF42</f>
        <v/>
      </c>
      <c r="N5" s="191" t="str">
        <f t="shared" ref="N5:Q5" si="2">AG42</f>
        <v/>
      </c>
      <c r="O5" s="182" t="str">
        <f t="shared" si="2"/>
        <v/>
      </c>
      <c r="P5" s="190" t="str">
        <f t="shared" si="2"/>
        <v/>
      </c>
      <c r="Q5" s="183" t="str">
        <f t="shared" si="2"/>
        <v/>
      </c>
      <c r="R5" s="295"/>
      <c r="S5" s="216"/>
      <c r="U5" s="215"/>
      <c r="V5" s="215"/>
      <c r="W5" s="3"/>
      <c r="X5" s="3"/>
    </row>
    <row r="6" spans="1:24" ht="27.75" customHeight="1" thickTop="1" thickBot="1">
      <c r="A6" s="298"/>
      <c r="B6" s="34" t="s">
        <v>142</v>
      </c>
      <c r="C6" s="35" t="s">
        <v>143</v>
      </c>
      <c r="D6" s="36" t="s">
        <v>144</v>
      </c>
      <c r="E6" s="105"/>
      <c r="F6" s="176" t="str">
        <f>IF(A15=1,"(mph)",IF(A15=2,"(mph)",IF(A15=3,"(km/h)","????")))</f>
        <v>(mph)</v>
      </c>
      <c r="G6" s="189" t="str">
        <f>IF(G5="","",HLOOKUP(AS27,$AS41:$AW43,3,FALSE))</f>
        <v/>
      </c>
      <c r="H6" s="187" t="str">
        <f>IF(H5="","",HLOOKUP(AT27,$AS41:$AW43,3,FALSE))</f>
        <v/>
      </c>
      <c r="I6" s="150" t="str">
        <f>IF(I5="","",HLOOKUP(AU27,$AS41:$AW43,3,FALSE))</f>
        <v/>
      </c>
      <c r="J6" s="185" t="str">
        <f>IF(J5="","",HLOOKUP(AV27,$AS41:$AW43,3,FALSE))</f>
        <v/>
      </c>
      <c r="K6" s="151" t="str">
        <f>IF(K5="","",HLOOKUP(AW27,$AS41:$AW43,3,FALSE))</f>
        <v/>
      </c>
      <c r="L6" s="280" t="s">
        <v>125</v>
      </c>
      <c r="M6" s="220" t="str">
        <f>IF(M5="","",HLOOKUP(AF27,$AF41:$AJ43,3,FALSE))</f>
        <v/>
      </c>
      <c r="N6" s="221" t="str">
        <f>IF(N5="","",HLOOKUP(AG27,$AF41:$AJ43,3,FALSE))</f>
        <v/>
      </c>
      <c r="O6" s="222" t="str">
        <f>IF(O5="","",HLOOKUP(AH27,$AF41:$AJ43,3,FALSE))</f>
        <v/>
      </c>
      <c r="P6" s="223" t="str">
        <f>IF(P5="","",HLOOKUP(AI27,$AF41:$AJ43,3,FALSE))</f>
        <v/>
      </c>
      <c r="Q6" s="224" t="str">
        <f>IF(Q5="","",HLOOKUP(AJ27,$AF41:$AJ43,3,FALSE))</f>
        <v/>
      </c>
      <c r="R6" s="295"/>
      <c r="W6" s="3"/>
      <c r="X6" s="3"/>
    </row>
    <row r="7" spans="1:24" ht="8.25" customHeight="1" thickTop="1" thickBot="1">
      <c r="A7" s="294"/>
      <c r="B7" s="111"/>
      <c r="C7" s="111"/>
      <c r="D7" s="111"/>
      <c r="E7" s="105"/>
      <c r="F7" s="105"/>
      <c r="G7" s="108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295"/>
      <c r="W7" s="3"/>
      <c r="X7" s="3"/>
    </row>
    <row r="8" spans="1:24" ht="39" customHeight="1" thickTop="1" thickBot="1">
      <c r="A8" s="294"/>
      <c r="B8" s="70" t="s">
        <v>52</v>
      </c>
      <c r="C8" s="279">
        <f ca="1">IF(TODAY()&lt;D41,TODAY(),D41-1)</f>
        <v>43138</v>
      </c>
      <c r="D8" s="70" t="s">
        <v>39</v>
      </c>
      <c r="E8" s="105"/>
      <c r="F8" s="105"/>
      <c r="G8" s="10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295"/>
      <c r="U8" s="214"/>
      <c r="V8" s="214"/>
      <c r="W8" s="3"/>
      <c r="X8" s="3"/>
    </row>
    <row r="9" spans="1:24" ht="33" customHeight="1" thickTop="1">
      <c r="A9" s="294"/>
      <c r="B9" s="94">
        <f>IF(A5=1,B5,IF(A5=2,B5*0.000568181818,IF(A5=3,B5*0.000568181818*1.0936133)))</f>
        <v>365</v>
      </c>
      <c r="C9" s="68" t="s">
        <v>62</v>
      </c>
      <c r="D9" s="85">
        <f>D11*0.000568181818*1.0936133</f>
        <v>0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295"/>
      <c r="U9" s="149"/>
      <c r="V9" s="149"/>
      <c r="W9" s="3"/>
      <c r="X9" s="3"/>
    </row>
    <row r="10" spans="1:24" ht="33" customHeight="1">
      <c r="A10" s="299"/>
      <c r="B10" s="83">
        <f>IF(A5=1,B5/0.000568181818,IF(A5=2,B5,IF(A5=3,B5*1.0936133)))</f>
        <v>642400.00020556792</v>
      </c>
      <c r="C10" s="69" t="s">
        <v>49</v>
      </c>
      <c r="D10" s="86">
        <f>D11*1.0936133</f>
        <v>0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295"/>
      <c r="W10" s="3"/>
      <c r="X10" s="3"/>
    </row>
    <row r="11" spans="1:24" ht="33" customHeight="1" thickBot="1">
      <c r="A11" s="300"/>
      <c r="B11" s="84">
        <f>IF(A5=1,B5/0.000568181818/1.0936133,IF(A5=2,B5/1.0936133,IF(A5=3,B5)))</f>
        <v>587410.55929510726</v>
      </c>
      <c r="C11" s="67" t="s">
        <v>48</v>
      </c>
      <c r="D11" s="87">
        <f>J40</f>
        <v>0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295"/>
      <c r="W11" s="3"/>
      <c r="X11" s="3"/>
    </row>
    <row r="12" spans="1:24" ht="7.5" customHeight="1" thickTop="1" thickBot="1">
      <c r="A12" s="294"/>
      <c r="B12" s="105"/>
      <c r="C12" s="105"/>
      <c r="D12" s="105"/>
      <c r="E12" s="105"/>
      <c r="F12" s="105"/>
      <c r="G12" s="102"/>
      <c r="H12" s="103"/>
      <c r="I12" s="104"/>
      <c r="J12" s="105"/>
      <c r="K12" s="105"/>
      <c r="L12" s="106"/>
      <c r="M12" s="107"/>
      <c r="N12" s="108"/>
      <c r="O12" s="109"/>
      <c r="P12" s="109"/>
      <c r="Q12" s="109"/>
      <c r="R12" s="301"/>
      <c r="W12" s="3"/>
      <c r="X12" s="3"/>
    </row>
    <row r="13" spans="1:24" ht="43" customHeight="1" thickTop="1" thickBot="1">
      <c r="A13" s="294"/>
      <c r="B13" s="386" t="s">
        <v>90</v>
      </c>
      <c r="C13" s="387"/>
      <c r="D13" s="119" t="s">
        <v>89</v>
      </c>
      <c r="E13" s="105"/>
      <c r="F13" s="105"/>
      <c r="G13" s="102"/>
      <c r="H13" s="103"/>
      <c r="I13" s="104"/>
      <c r="J13" s="105"/>
      <c r="K13" s="105"/>
      <c r="L13" s="106"/>
      <c r="M13" s="107"/>
      <c r="N13" s="108"/>
      <c r="O13" s="109"/>
      <c r="P13" s="109"/>
      <c r="Q13" s="109"/>
      <c r="R13" s="301"/>
      <c r="W13" s="3"/>
      <c r="X13" s="3"/>
    </row>
    <row r="14" spans="1:24" ht="35" customHeight="1" thickTop="1">
      <c r="A14" s="294"/>
      <c r="B14" s="388" t="s">
        <v>88</v>
      </c>
      <c r="C14" s="389"/>
      <c r="D14" s="121">
        <f ca="1">D16*0.000568181818*1.0936133</f>
        <v>0</v>
      </c>
      <c r="E14" s="105"/>
      <c r="F14" s="105"/>
      <c r="G14" s="102"/>
      <c r="H14" s="103"/>
      <c r="I14" s="104"/>
      <c r="J14" s="105"/>
      <c r="K14" s="110"/>
      <c r="L14" s="106"/>
      <c r="M14" s="107"/>
      <c r="N14" s="108"/>
      <c r="O14" s="109"/>
      <c r="P14" s="109"/>
      <c r="Q14" s="109"/>
      <c r="R14" s="301"/>
      <c r="W14" s="3"/>
      <c r="X14" s="3"/>
    </row>
    <row r="15" spans="1:24" ht="35" customHeight="1">
      <c r="A15" s="302">
        <v>1</v>
      </c>
      <c r="B15" s="390" t="s">
        <v>87</v>
      </c>
      <c r="C15" s="389"/>
      <c r="D15" s="101">
        <f ca="1">D16*1.0936133</f>
        <v>0</v>
      </c>
      <c r="E15" s="105"/>
      <c r="F15" s="105"/>
      <c r="G15" s="102"/>
      <c r="H15" s="103"/>
      <c r="I15" s="104"/>
      <c r="J15" s="105"/>
      <c r="K15" s="110"/>
      <c r="L15" s="106"/>
      <c r="M15" s="107"/>
      <c r="N15" s="108"/>
      <c r="O15" s="109"/>
      <c r="P15" s="109"/>
      <c r="Q15" s="109"/>
      <c r="R15" s="301"/>
      <c r="W15" s="3"/>
      <c r="X15" s="3"/>
    </row>
    <row r="16" spans="1:24" ht="35" customHeight="1" thickBot="1">
      <c r="A16" s="298"/>
      <c r="B16" s="381" t="s">
        <v>86</v>
      </c>
      <c r="C16" s="382"/>
      <c r="D16" s="112">
        <f ca="1">MAX(U29:U40)*1000</f>
        <v>0</v>
      </c>
      <c r="E16" s="105"/>
      <c r="F16" s="105"/>
      <c r="G16" s="102"/>
      <c r="H16" s="103"/>
      <c r="I16" s="104"/>
      <c r="J16" s="105"/>
      <c r="K16" s="110"/>
      <c r="L16" s="106"/>
      <c r="M16" s="107"/>
      <c r="N16" s="108"/>
      <c r="O16" s="109"/>
      <c r="P16" s="109"/>
      <c r="Q16" s="109"/>
      <c r="R16" s="301"/>
      <c r="W16" s="3"/>
      <c r="X16" s="3"/>
    </row>
    <row r="17" spans="1:64" ht="11.25" customHeight="1" thickTop="1">
      <c r="A17" s="294"/>
      <c r="B17" s="105"/>
      <c r="C17" s="105"/>
      <c r="D17" s="105"/>
      <c r="E17" s="105"/>
      <c r="F17" s="105"/>
      <c r="G17" s="102"/>
      <c r="H17" s="103"/>
      <c r="I17" s="104"/>
      <c r="J17" s="105"/>
      <c r="K17" s="110"/>
      <c r="L17" s="106"/>
      <c r="M17" s="107"/>
      <c r="N17" s="108"/>
      <c r="O17" s="109"/>
      <c r="P17" s="109"/>
      <c r="Q17" s="109"/>
      <c r="R17" s="301"/>
      <c r="W17" s="3"/>
      <c r="X17" s="3"/>
    </row>
    <row r="18" spans="1:64" ht="35" customHeight="1">
      <c r="A18" s="294"/>
      <c r="B18" s="105"/>
      <c r="C18" s="105"/>
      <c r="D18" s="105" t="s">
        <v>135</v>
      </c>
      <c r="E18" s="105"/>
      <c r="F18" s="105"/>
      <c r="G18" s="102"/>
      <c r="H18" s="103"/>
      <c r="I18" s="104"/>
      <c r="J18" s="105"/>
      <c r="K18" s="110"/>
      <c r="L18" s="106"/>
      <c r="M18" s="107"/>
      <c r="N18" s="108"/>
      <c r="O18" s="109"/>
      <c r="P18" s="109"/>
      <c r="Q18" s="109"/>
      <c r="R18" s="301"/>
      <c r="W18" s="3"/>
      <c r="X18" s="3"/>
    </row>
    <row r="19" spans="1:64" ht="35" customHeight="1" thickBot="1">
      <c r="A19" s="294"/>
      <c r="B19" s="105"/>
      <c r="C19" s="105"/>
      <c r="D19" s="105"/>
      <c r="E19" s="105"/>
      <c r="F19" s="105"/>
      <c r="G19" s="102"/>
      <c r="H19" s="103"/>
      <c r="I19" s="104"/>
      <c r="J19" s="105"/>
      <c r="K19" s="110"/>
      <c r="L19" s="106"/>
      <c r="M19" s="107"/>
      <c r="N19" s="108"/>
      <c r="O19" s="109"/>
      <c r="P19" s="109"/>
      <c r="Q19" s="109"/>
      <c r="R19" s="301"/>
      <c r="S19" s="33"/>
      <c r="T19" s="33"/>
      <c r="U19" s="33"/>
      <c r="V19" s="33"/>
      <c r="W19" s="32"/>
      <c r="X19" s="32"/>
      <c r="Y19" s="32"/>
    </row>
    <row r="20" spans="1:64" ht="35" customHeight="1" thickBot="1">
      <c r="A20" s="294"/>
      <c r="B20" s="105"/>
      <c r="C20" s="105"/>
      <c r="D20" s="105"/>
      <c r="E20" s="105"/>
      <c r="F20" s="402">
        <f ca="1">D45+1-D47</f>
        <v>38</v>
      </c>
      <c r="G20" s="403"/>
      <c r="H20" s="359" t="str">
        <f ca="1">IF(F20&lt;7,"","sensible target?")</f>
        <v>sensible target?</v>
      </c>
      <c r="I20" s="408" t="s">
        <v>81</v>
      </c>
      <c r="J20" s="409"/>
      <c r="K20" s="406">
        <f ca="1">IF((M40-H40)&gt;0,(M40-H40),"Target met")</f>
        <v>365</v>
      </c>
      <c r="L20" s="407"/>
      <c r="M20" s="360">
        <f ca="1">IF((M40-H40)&lt;=0," &gt; &gt; &gt;",IF(TODAY()&gt;(D41-1)," &gt; &gt; &gt;",(M40-H40)/(F41-F20+1)))</f>
        <v>1.1128048780487805</v>
      </c>
      <c r="N20" s="361">
        <f ca="1">IF((M40-H40)&lt;=0,"WELL",IF(TODAY()&gt;(D41-1),"BAD",IF(F20&gt;358,"N/A",IF((M40-H40)&gt;0,(M20*7)))))</f>
        <v>7.7896341463414629</v>
      </c>
      <c r="O20" s="362">
        <f ca="1">IF((M40-H40)&lt;=0,"DONE",IF(TODAY()&gt;(D41-1),"LUCK",IF(F20&gt;334,"N/A",IF((M40-H40)&gt;0,(M20*30)))))</f>
        <v>33.384146341463413</v>
      </c>
      <c r="P20" s="398">
        <f ca="1">IF(TODAY()&gt;=D41,"times up!",IF((F41-F20)=0,"last day",IF((F41-F20)&gt;F41,F41,(F41-F20))))</f>
        <v>327</v>
      </c>
      <c r="Q20" s="399"/>
      <c r="R20" s="303"/>
      <c r="S20" s="32"/>
      <c r="T20" s="32"/>
      <c r="U20" s="32"/>
      <c r="V20" s="32"/>
      <c r="W20" s="32"/>
      <c r="X20" s="3"/>
    </row>
    <row r="21" spans="1:64" ht="35" customHeight="1" thickBot="1">
      <c r="A21" s="294"/>
      <c r="B21" s="109"/>
      <c r="C21" s="109"/>
      <c r="D21" s="105"/>
      <c r="E21" s="105"/>
      <c r="F21" s="404"/>
      <c r="G21" s="405"/>
      <c r="H21" s="410">
        <f>M40</f>
        <v>365</v>
      </c>
      <c r="I21" s="411"/>
      <c r="J21" s="282" t="s">
        <v>82</v>
      </c>
      <c r="K21" s="416">
        <f ca="1">M22*F41</f>
        <v>-5.6103175375288622E-56</v>
      </c>
      <c r="L21" s="417"/>
      <c r="M21" s="396" t="s">
        <v>50</v>
      </c>
      <c r="N21" s="397"/>
      <c r="O21" s="397"/>
      <c r="P21" s="400"/>
      <c r="Q21" s="401"/>
      <c r="R21" s="304"/>
      <c r="W21" s="32"/>
      <c r="X21" s="3"/>
    </row>
    <row r="22" spans="1:64" ht="35" customHeight="1" thickBot="1">
      <c r="A22" s="294"/>
      <c r="B22" s="356"/>
      <c r="C22" s="356"/>
      <c r="D22" s="105"/>
      <c r="E22" s="105"/>
      <c r="F22" s="418" t="str">
        <f ca="1">IF(F20=-1,"day still to go",IF(F20&lt;0,"days to wait",IF(F20=0,"wait…    :)",IF(F20=1,"day gone","days gone"))))</f>
        <v>days gone</v>
      </c>
      <c r="G22" s="419"/>
      <c r="H22" s="307" t="str">
        <f ca="1">IF(F20&lt;7,"",IF(K21&lt;M40*0.9,"NO",IF(K21&gt;M40*1.15,"NO","YES")))</f>
        <v>NO</v>
      </c>
      <c r="I22" s="412" t="s">
        <v>83</v>
      </c>
      <c r="J22" s="413"/>
      <c r="K22" s="414">
        <f ca="1">H41</f>
        <v>-5.8408785322218288E-57</v>
      </c>
      <c r="L22" s="415"/>
      <c r="M22" s="308">
        <f ca="1">IF(F20&lt;=0,0,IF(F20&gt;F41-1,H41/F41,H41/F20))</f>
        <v>-1.5370732979531129E-58</v>
      </c>
      <c r="N22" s="309">
        <f ca="1">M22*F41/52</f>
        <v>-1.0789072187555504E-57</v>
      </c>
      <c r="O22" s="310">
        <f ca="1">M22*F41/12</f>
        <v>-4.6752646146073853E-57</v>
      </c>
      <c r="P22" s="394" t="str">
        <f ca="1">IF(TODAY()&gt;(D41-2),"","days  to go")</f>
        <v>days  to go</v>
      </c>
      <c r="Q22" s="395"/>
      <c r="R22" s="295"/>
      <c r="S22" s="3"/>
      <c r="T22" s="3"/>
      <c r="U22" s="3"/>
      <c r="V22" s="3"/>
      <c r="Y22" s="32"/>
    </row>
    <row r="23" spans="1:64" ht="4.5" customHeight="1" thickBot="1">
      <c r="A23" s="305"/>
      <c r="B23" s="306"/>
      <c r="C23" s="306"/>
      <c r="D23" s="306"/>
      <c r="E23" s="306"/>
      <c r="F23" s="306"/>
      <c r="G23" s="357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58"/>
      <c r="W23" s="32"/>
      <c r="X23" s="32"/>
    </row>
    <row r="24" spans="1:64" ht="24" customHeight="1">
      <c r="A24" s="97"/>
      <c r="B24" s="97"/>
      <c r="C24" s="97"/>
      <c r="D24" s="97"/>
      <c r="E24" s="97"/>
      <c r="F24" s="97"/>
      <c r="G24" s="98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  <c r="S24" s="98"/>
      <c r="T24" s="98"/>
      <c r="U24" s="98"/>
      <c r="V24" s="98"/>
      <c r="W24" s="99"/>
      <c r="X24" s="99"/>
      <c r="Y24" s="97"/>
      <c r="Z24" s="97"/>
      <c r="AA24" s="97"/>
      <c r="AB24" s="97"/>
      <c r="AC24" s="97"/>
      <c r="AD24" s="97"/>
      <c r="AE24" s="97"/>
    </row>
    <row r="25" spans="1:64" ht="36" customHeight="1">
      <c r="A25" s="100"/>
      <c r="B25" s="318"/>
      <c r="C25" s="100"/>
      <c r="D25" s="100"/>
      <c r="E25" s="100"/>
      <c r="F25" s="100"/>
      <c r="G25" s="12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20"/>
      <c r="S25" s="120"/>
      <c r="T25" s="120"/>
      <c r="U25" s="120"/>
      <c r="V25" s="120"/>
      <c r="W25" s="225"/>
      <c r="X25" s="225"/>
      <c r="Y25" s="100"/>
      <c r="Z25" s="100"/>
      <c r="AA25" s="100"/>
      <c r="AB25" s="100"/>
      <c r="AC25" s="100"/>
      <c r="AD25" s="100"/>
      <c r="AE25" s="100"/>
      <c r="AF25" s="120">
        <f>COUNTIF($AF26:$AJ26,"&lt;="&amp;AF26)</f>
        <v>1</v>
      </c>
      <c r="AG25" s="120">
        <f>COUNTIF($AF26:$AJ26,"&lt;="&amp;AG26)</f>
        <v>2</v>
      </c>
      <c r="AH25" s="120">
        <f>COUNTIF($AF26:$AJ26,"&lt;="&amp;AH26)</f>
        <v>3</v>
      </c>
      <c r="AI25" s="120">
        <f>COUNTIF($AF26:$AJ26,"&lt;="&amp;AI26)</f>
        <v>4</v>
      </c>
      <c r="AJ25" s="120">
        <f>COUNTIF($AF26:$AJ26,"&lt;="&amp;AJ26)</f>
        <v>5</v>
      </c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318"/>
      <c r="BI25" s="100"/>
      <c r="BJ25" s="100"/>
      <c r="BK25" s="100"/>
      <c r="BL25" s="100"/>
    </row>
    <row r="26" spans="1:64" ht="28">
      <c r="A26" s="100"/>
      <c r="B26" s="226"/>
      <c r="C26" s="226"/>
      <c r="D26" s="226"/>
      <c r="E26" s="226"/>
      <c r="F26" s="226"/>
      <c r="G26" s="227"/>
      <c r="H26" s="228"/>
      <c r="I26" s="229"/>
      <c r="J26" s="230"/>
      <c r="K26" s="231"/>
      <c r="L26" s="232"/>
      <c r="M26" s="233"/>
      <c r="N26" s="234"/>
      <c r="O26" s="235"/>
      <c r="P26" s="235"/>
      <c r="Q26" s="235"/>
      <c r="R26" s="236"/>
      <c r="S26" s="237"/>
      <c r="T26" s="237"/>
      <c r="U26" s="237"/>
      <c r="V26" s="237"/>
      <c r="W26" s="225"/>
      <c r="X26" s="225"/>
      <c r="Y26" s="230"/>
      <c r="Z26" s="230"/>
      <c r="AA26" s="230"/>
      <c r="AB26" s="230"/>
      <c r="AC26" s="230"/>
      <c r="AD26" s="230"/>
      <c r="AE26" s="230"/>
      <c r="AF26" s="234" t="str">
        <f>IF(I2="","z",I2)</f>
        <v>z</v>
      </c>
      <c r="AG26" s="234" t="str">
        <f>IF(J2="","zz",IF(COUNTIF($AE$26:AF26,J2)=1,"zz",J2))</f>
        <v>zz</v>
      </c>
      <c r="AH26" s="234" t="str">
        <f>IF(K2="","zzz",IF(COUNTIF($AE$26:AG26,K2)=1,"zzz",K2))</f>
        <v>zzz</v>
      </c>
      <c r="AI26" s="234" t="str">
        <f>IF(L2="","zzzz",IF(COUNTIF($AE$26:AH26,L2)=1,"zzzz",L2))</f>
        <v>zzzz</v>
      </c>
      <c r="AJ26" s="234" t="str">
        <f>IF(M2="","zzzzz",IF(COUNTIF($AE$26:AI26,M2)=1,"zzzzz",M2))</f>
        <v>zzzzz</v>
      </c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100"/>
      <c r="BJ26" s="100"/>
      <c r="BK26" s="100"/>
      <c r="BL26" s="100"/>
    </row>
    <row r="27" spans="1:64" ht="90.75" customHeight="1">
      <c r="A27" s="239"/>
      <c r="B27" s="240"/>
      <c r="C27" s="241" t="s">
        <v>54</v>
      </c>
      <c r="D27" s="242" t="s">
        <v>55</v>
      </c>
      <c r="E27" s="243">
        <v>2014</v>
      </c>
      <c r="F27" s="244" t="s">
        <v>21</v>
      </c>
      <c r="G27" s="228" t="s">
        <v>26</v>
      </c>
      <c r="H27" s="228" t="s">
        <v>53</v>
      </c>
      <c r="I27" s="228" t="s">
        <v>56</v>
      </c>
      <c r="J27" s="228"/>
      <c r="K27" s="228" t="s">
        <v>20</v>
      </c>
      <c r="L27" s="228" t="s">
        <v>20</v>
      </c>
      <c r="M27" s="228" t="s">
        <v>24</v>
      </c>
      <c r="N27" s="228" t="s">
        <v>41</v>
      </c>
      <c r="O27" s="228" t="s">
        <v>40</v>
      </c>
      <c r="P27" s="228" t="s">
        <v>42</v>
      </c>
      <c r="Q27" s="228" t="s">
        <v>43</v>
      </c>
      <c r="R27" s="228" t="s">
        <v>44</v>
      </c>
      <c r="S27" s="228" t="s">
        <v>45</v>
      </c>
      <c r="T27" s="228"/>
      <c r="U27" s="228"/>
      <c r="V27" s="245"/>
      <c r="W27" s="246" t="s">
        <v>70</v>
      </c>
      <c r="X27" s="234"/>
      <c r="Y27" s="246" t="s">
        <v>69</v>
      </c>
      <c r="Z27" s="230"/>
      <c r="AA27" s="230"/>
      <c r="AB27" s="230"/>
      <c r="AC27" s="247"/>
      <c r="AD27" s="230"/>
      <c r="AE27" s="230"/>
      <c r="AF27" s="234">
        <v>1</v>
      </c>
      <c r="AG27" s="171">
        <v>2</v>
      </c>
      <c r="AH27" s="171">
        <v>3</v>
      </c>
      <c r="AI27" s="171">
        <v>4</v>
      </c>
      <c r="AJ27" s="171">
        <v>5</v>
      </c>
      <c r="AK27" s="239"/>
      <c r="AL27" s="239"/>
      <c r="AM27" s="234">
        <v>1</v>
      </c>
      <c r="AN27" s="171">
        <v>2</v>
      </c>
      <c r="AO27" s="171">
        <v>3</v>
      </c>
      <c r="AP27" s="171">
        <v>4</v>
      </c>
      <c r="AQ27" s="171">
        <v>5</v>
      </c>
      <c r="AR27" s="239"/>
      <c r="AS27" s="234">
        <v>1</v>
      </c>
      <c r="AT27" s="171">
        <v>2</v>
      </c>
      <c r="AU27" s="171">
        <v>3</v>
      </c>
      <c r="AV27" s="171">
        <v>4</v>
      </c>
      <c r="AW27" s="171">
        <v>5</v>
      </c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100"/>
      <c r="BJ27" s="100"/>
      <c r="BK27" s="100"/>
      <c r="BL27" s="100"/>
    </row>
    <row r="28" spans="1:64" ht="90">
      <c r="A28" s="239"/>
      <c r="B28" s="230">
        <v>0</v>
      </c>
      <c r="C28" s="230"/>
      <c r="D28" s="248">
        <f ca="1">TODAY()</f>
        <v>43138</v>
      </c>
      <c r="E28" s="249"/>
      <c r="F28" s="244">
        <v>0</v>
      </c>
      <c r="G28" s="228" t="s">
        <v>68</v>
      </c>
      <c r="H28" s="228">
        <v>0</v>
      </c>
      <c r="I28" s="228">
        <v>0</v>
      </c>
      <c r="J28" s="228">
        <v>0</v>
      </c>
      <c r="K28" s="228">
        <v>0</v>
      </c>
      <c r="L28" s="228" t="s">
        <v>47</v>
      </c>
      <c r="M28" s="228" t="s">
        <v>46</v>
      </c>
      <c r="N28" s="228" t="s">
        <v>13</v>
      </c>
      <c r="O28" s="228" t="s">
        <v>14</v>
      </c>
      <c r="P28" s="228" t="s">
        <v>15</v>
      </c>
      <c r="Q28" s="228" t="s">
        <v>16</v>
      </c>
      <c r="R28" s="228" t="s">
        <v>17</v>
      </c>
      <c r="S28" s="228" t="s">
        <v>23</v>
      </c>
      <c r="T28" s="228" t="s">
        <v>84</v>
      </c>
      <c r="U28" s="228" t="s">
        <v>85</v>
      </c>
      <c r="V28" s="228"/>
      <c r="W28" s="250" t="s">
        <v>65</v>
      </c>
      <c r="X28" s="250" t="s">
        <v>64</v>
      </c>
      <c r="Y28" s="250" t="s">
        <v>66</v>
      </c>
      <c r="Z28" s="250" t="s">
        <v>67</v>
      </c>
      <c r="AA28" s="250" t="s">
        <v>71</v>
      </c>
      <c r="AB28" s="250" t="s">
        <v>72</v>
      </c>
      <c r="AC28" s="230"/>
      <c r="AD28" s="250" t="s">
        <v>73</v>
      </c>
      <c r="AE28" s="230"/>
      <c r="AF28" s="235" t="str">
        <f>IF(HLOOKUP(AF27,$AF25:$AJ26,2,FALSE)="z*","",HLOOKUP(AF27,$AF25:$AJ26,2,FALSE))</f>
        <v>z</v>
      </c>
      <c r="AG28" s="235" t="str">
        <f>IF(HLOOKUP(AG27,$AF25:$AJ26,2,FALSE)="z*","",HLOOKUP(AG27,$AF25:$AJ26,2,FALSE))</f>
        <v>zz</v>
      </c>
      <c r="AH28" s="235" t="str">
        <f>IF(HLOOKUP(AH27,$AF25:$AJ26,2,FALSE)="z*","",HLOOKUP(AH27,$AF25:$AJ26,2,FALSE))</f>
        <v>zzz</v>
      </c>
      <c r="AI28" s="235" t="str">
        <f>IF(HLOOKUP(AI27,$AF25:$AJ26,2,FALSE)="z*","",HLOOKUP(AI27,$AF25:$AJ26,2,FALSE))</f>
        <v>zzzz</v>
      </c>
      <c r="AJ28" s="235" t="str">
        <f>IF(HLOOKUP(AJ27,$AF25:$AJ26,2,FALSE)="z*","",HLOOKUP(AJ27,$AF25:$AJ26,2,FALSE))</f>
        <v>zzzzz</v>
      </c>
      <c r="AK28" s="251" t="s">
        <v>116</v>
      </c>
      <c r="AL28" s="251" t="s">
        <v>140</v>
      </c>
      <c r="AM28" s="235" t="str">
        <f>IF(HLOOKUP(AM27,$AF25:$AJ26,2,FALSE)="z*","",HLOOKUP(AM27,$AF25:$AJ26,2,FALSE))</f>
        <v>z</v>
      </c>
      <c r="AN28" s="235" t="str">
        <f>IF(HLOOKUP(AN27,$AF25:$AJ26,2,FALSE)="z*","",HLOOKUP(AN27,$AF25:$AJ26,2,FALSE))</f>
        <v>zz</v>
      </c>
      <c r="AO28" s="235" t="str">
        <f>IF(HLOOKUP(AO27,$AF25:$AJ26,2,FALSE)="z*","",HLOOKUP(AO27,$AF25:$AJ26,2,FALSE))</f>
        <v>zzz</v>
      </c>
      <c r="AP28" s="235" t="str">
        <f>IF(HLOOKUP(AP27,$AF25:$AJ26,2,FALSE)="z*","",HLOOKUP(AP27,$AF25:$AJ26,2,FALSE))</f>
        <v>zzzz</v>
      </c>
      <c r="AQ28" s="235" t="str">
        <f>IF(HLOOKUP(AQ27,$AF25:$AJ26,2,FALSE)="z*","",HLOOKUP(AQ27,$AF25:$AJ26,2,FALSE))</f>
        <v>zzzzz</v>
      </c>
      <c r="AR28" s="239"/>
      <c r="AS28" s="235" t="str">
        <f>IF(HLOOKUP(AS27,$AF25:$AJ26,2,FALSE)="z*","",HLOOKUP(AS27,$AF25:$AJ26,2,FALSE))</f>
        <v>z</v>
      </c>
      <c r="AT28" s="235" t="str">
        <f>IF(HLOOKUP(AT27,$AF25:$AJ26,2,FALSE)="z*","",HLOOKUP(AT27,$AF25:$AJ26,2,FALSE))</f>
        <v>zz</v>
      </c>
      <c r="AU28" s="235" t="str">
        <f>IF(HLOOKUP(AU27,$AF25:$AJ26,2,FALSE)="z*","",HLOOKUP(AU27,$AF25:$AJ26,2,FALSE))</f>
        <v>zzz</v>
      </c>
      <c r="AV28" s="235" t="str">
        <f>IF(HLOOKUP(AV27,$AF25:$AJ26,2,FALSE)="z*","",HLOOKUP(AV27,$AF25:$AJ26,2,FALSE))</f>
        <v>zzzz</v>
      </c>
      <c r="AW28" s="235" t="str">
        <f>IF(HLOOKUP(AW27,$AF25:$AJ26,2,FALSE)="z*","",HLOOKUP(AW27,$AF25:$AJ26,2,FALSE))</f>
        <v>zzzzz</v>
      </c>
      <c r="AX28" s="239"/>
      <c r="AY28" s="239"/>
      <c r="AZ28" s="168"/>
      <c r="BA28" s="171" t="s">
        <v>128</v>
      </c>
      <c r="BB28" s="171" t="s">
        <v>129</v>
      </c>
      <c r="BC28" s="171" t="s">
        <v>130</v>
      </c>
      <c r="BD28" s="171" t="s">
        <v>131</v>
      </c>
      <c r="BE28" s="171" t="s">
        <v>132</v>
      </c>
      <c r="BF28" s="171" t="s">
        <v>133</v>
      </c>
      <c r="BG28" s="171" t="s">
        <v>134</v>
      </c>
      <c r="BH28" s="239"/>
      <c r="BI28" s="100"/>
      <c r="BJ28" s="100"/>
      <c r="BK28" s="100"/>
      <c r="BL28" s="100"/>
    </row>
    <row r="29" spans="1:64" ht="23">
      <c r="A29" s="239"/>
      <c r="B29" s="240">
        <v>1</v>
      </c>
      <c r="C29" s="252">
        <f>D50</f>
        <v>43101</v>
      </c>
      <c r="D29" s="253">
        <f>D47</f>
        <v>43101</v>
      </c>
      <c r="E29" s="254" t="s">
        <v>93</v>
      </c>
      <c r="F29" s="234">
        <v>31</v>
      </c>
      <c r="G29" s="255">
        <f ca="1">SUM(N29:S29)</f>
        <v>0</v>
      </c>
      <c r="H29" s="256">
        <f ca="1">G29</f>
        <v>0</v>
      </c>
      <c r="I29" s="256">
        <f>JAN!H$55</f>
        <v>0</v>
      </c>
      <c r="J29" s="256">
        <f>I29</f>
        <v>0</v>
      </c>
      <c r="K29" s="256">
        <f>B$11/SUM(F29:F40)*F29</f>
        <v>49889.663940132399</v>
      </c>
      <c r="L29" s="256">
        <f t="shared" ref="L29:L40" si="3">IF(E$5=1,B$9/(D$41-D$29)*F29,IF(E$5=2,B$10/(D$41-D$29)*F29,IF(E$5=3,B$11/(D$41-D$29)*F29)))</f>
        <v>31</v>
      </c>
      <c r="M29" s="256">
        <f>L29</f>
        <v>31</v>
      </c>
      <c r="N29" s="256">
        <f ca="1">IF($E$5=1,JAN!$F$12,IF($E$5=2,JAN!$G$12,IF($E$5=3,JAN!$H$12,"")))</f>
        <v>0</v>
      </c>
      <c r="O29" s="256">
        <f ca="1">IF($E$5=1,JAN!$F$21,IF($E$5=2,JAN!$G$21,IF($E$5=3,JAN!$H$21,"")))</f>
        <v>0</v>
      </c>
      <c r="P29" s="256">
        <f ca="1">IF($E$5=1,JAN!$F$30,IF($E$5=2,JAN!$G$30,IF($E$5=3,JAN!$H$30,"")))</f>
        <v>0</v>
      </c>
      <c r="Q29" s="256">
        <f ca="1">IF($E$5=1,JAN!$F$39,IF($E$5=2,JAN!$G$39,IF($E$5=3,JAN!$H$39,"")))</f>
        <v>0</v>
      </c>
      <c r="R29" s="256">
        <f ca="1">IF($E$5=1,JAN!$F$48,IF($E$5=2,JAN!$G$48,IF($E$5=3,JAN!$H$48,"")))</f>
        <v>0</v>
      </c>
      <c r="S29" s="256" t="str">
        <f>IF(JAN!$H$53=-1E-55,"",IF($E$5=1,JAN!$F$52,IF($E$5=2,JAN!$G$52,IF($E$5=3,JAN!$H$52,""))))</f>
        <v/>
      </c>
      <c r="T29" s="256">
        <f ca="1">IF(TODAY()&gt;=C30-1,0,G29)</f>
        <v>0</v>
      </c>
      <c r="U29" s="376">
        <f ca="1">IF($G29&lt;0.0011,0,VLOOKUP($C$8,JAN!$C$4:$AA$56,25)-VLOOKUP($C$8-1,JAN!$C$4:$AA$56,25))</f>
        <v>0</v>
      </c>
      <c r="V29" s="258">
        <f ca="1">IF($C$8&lt;D29-1,0,IF($C$8&gt;D30-1,0,VLOOKUP($C$8,JAN!$C$4:$AA$56,3)))</f>
        <v>0</v>
      </c>
      <c r="W29" s="259">
        <f ca="1">IF(TODAY()&gt;=C30-1,IF((M29-G29)&gt;0,G29,0),0)</f>
        <v>0</v>
      </c>
      <c r="X29" s="259">
        <f t="shared" ref="X29:X40" si="4">L29/50</f>
        <v>0.62</v>
      </c>
      <c r="Y29" s="260">
        <f ca="1">IF(TODAY()&gt;=C30-1,IF((M29-G29)&lt;0,G29,0),0)</f>
        <v>0</v>
      </c>
      <c r="Z29" s="230">
        <f ca="1">IF(TODAY()&gt;(D30-1),0-L29/100,IF(TODAY()&lt;D29,0-L29/100,(TODAY()-D29+1)/F29*(M$40-H28)/AC29*F29))</f>
        <v>-0.31</v>
      </c>
      <c r="AA29" s="261">
        <f t="shared" ref="AA29:AA40" ca="1" si="5">T29+W29+Y29</f>
        <v>0</v>
      </c>
      <c r="AB29" s="262">
        <v>-1</v>
      </c>
      <c r="AC29" s="234">
        <f t="shared" ref="AC29:AC39" si="6">AC30+F29</f>
        <v>365</v>
      </c>
      <c r="AD29" s="262">
        <f>M29</f>
        <v>31</v>
      </c>
      <c r="AE29" s="311" t="s">
        <v>150</v>
      </c>
      <c r="AF29" s="263" t="str">
        <f>JAN!L53</f>
        <v/>
      </c>
      <c r="AG29" s="263" t="str">
        <f>JAN!L54</f>
        <v/>
      </c>
      <c r="AH29" s="263" t="str">
        <f>JAN!L55</f>
        <v/>
      </c>
      <c r="AI29" s="263" t="str">
        <f>JAN!L56</f>
        <v/>
      </c>
      <c r="AJ29" s="263" t="str">
        <f>JAN!L57</f>
        <v/>
      </c>
      <c r="AK29" s="263">
        <f>JAN!L59</f>
        <v>0</v>
      </c>
      <c r="AL29" s="312">
        <f>JAN!L$40</f>
        <v>0</v>
      </c>
      <c r="AM29" s="264" t="str">
        <f>IFERROR(JAN!$M$53,"zero")</f>
        <v/>
      </c>
      <c r="AN29" s="264" t="str">
        <f>IFERROR(JAN!$M$54,"zero")</f>
        <v/>
      </c>
      <c r="AO29" s="264" t="str">
        <f>IFERROR(JAN!$M$55,"zero")</f>
        <v/>
      </c>
      <c r="AP29" s="264" t="str">
        <f>IFERROR(JAN!$M$56,"zero")</f>
        <v/>
      </c>
      <c r="AQ29" s="264" t="str">
        <f>IFERROR(JAN!$M$57,"zero")</f>
        <v/>
      </c>
      <c r="AR29" s="264">
        <f>SUM(AM29:AQ29)</f>
        <v>0</v>
      </c>
      <c r="AS29" s="239"/>
      <c r="AT29" s="239"/>
      <c r="AU29" s="239"/>
      <c r="AV29" s="239"/>
      <c r="AW29" s="239"/>
      <c r="AX29" s="265"/>
      <c r="AY29" s="239"/>
      <c r="AZ29" s="313" t="str">
        <f>JAN!O57</f>
        <v>distance</v>
      </c>
      <c r="BA29" s="266">
        <f>JAN!P57+FEB!P57+MAR!P57+APR!P57+MAY!P57+JUN!P57+JUL!P57+AUG!P57+SEP!P57+OCT!P57+NOV!P57+DEC!P57</f>
        <v>0</v>
      </c>
      <c r="BB29" s="266">
        <f>JAN!Q57+FEB!Q57+MAR!Q57+APR!Q57+MAY!Q57+JUN!Q57+JUL!Q57+AUG!Q57+SEP!Q57+OCT!Q57+NOV!Q57+DEC!Q57</f>
        <v>0</v>
      </c>
      <c r="BC29" s="266">
        <f>JAN!R57+FEB!R57+MAR!R57+APR!R57+MAY!R57+JUN!R57+JUL!R57+AUG!R57+SEP!R57+OCT!R57+NOV!R57+DEC!R57</f>
        <v>0</v>
      </c>
      <c r="BD29" s="266">
        <f>JAN!S57+FEB!S57+MAR!S57+APR!S57+MAY!S57+JUN!S57+JUL!S57+AUG!S57+SEP!S57+OCT!S57+NOV!S57+DEC!S57</f>
        <v>0</v>
      </c>
      <c r="BE29" s="266">
        <f>JAN!T57+FEB!T57+MAR!T57+APR!T57+MAY!T57+JUN!T57+JUL!T57+AUG!T57+SEP!T57+OCT!T57+NOV!T57+DEC!T57</f>
        <v>0</v>
      </c>
      <c r="BF29" s="266">
        <f>JAN!U57+FEB!U57+MAR!U57+APR!U57+MAY!U57+JUN!U57+JUL!U57+AUG!U57+SEP!U57+OCT!U57+NOV!U57+DEC!U57</f>
        <v>0</v>
      </c>
      <c r="BG29" s="266">
        <f>JAN!V57+FEB!V57+MAR!V57+APR!V57+MAY!V57+JUN!V57+JUL!V57+AUG!V57+SEP!V57+OCT!V57+NOV!V57+DEC!V57</f>
        <v>0</v>
      </c>
      <c r="BH29" s="239"/>
      <c r="BI29" s="100"/>
      <c r="BJ29" s="100"/>
      <c r="BK29" s="100"/>
      <c r="BL29" s="100"/>
    </row>
    <row r="30" spans="1:64" ht="23">
      <c r="A30" s="239"/>
      <c r="B30" s="240">
        <v>2</v>
      </c>
      <c r="C30" s="252">
        <f>(ROUNDDOWN(((D29-C29)+F29)/7,0))*7+C29</f>
        <v>43129</v>
      </c>
      <c r="D30" s="253">
        <f t="shared" ref="D30:D41" si="7">D29+F29</f>
        <v>43132</v>
      </c>
      <c r="E30" s="267" t="s">
        <v>92</v>
      </c>
      <c r="F30" s="226">
        <f>IF(B2/4=INT(B2/4),29,28)</f>
        <v>28</v>
      </c>
      <c r="G30" s="255">
        <f t="shared" ref="G30:G40" ca="1" si="8">SUM(N30:S30)</f>
        <v>-3.7282203397160613E-58</v>
      </c>
      <c r="H30" s="256">
        <f ca="1">H29+G30</f>
        <v>-3.7282203397160613E-58</v>
      </c>
      <c r="I30" s="256">
        <f>FEB!H$55</f>
        <v>0</v>
      </c>
      <c r="J30" s="256">
        <f>J29+I30</f>
        <v>0</v>
      </c>
      <c r="K30" s="256">
        <f>B$11/SUM(F$29:F$40)*F30+K29</f>
        <v>94951.295886058433</v>
      </c>
      <c r="L30" s="256">
        <f>IF(E$5=1,B$9/(D$41-D$29)*F30,IF(E$5=2,B$10/(D$41-D$29)*F30,IF(E$5=3,B$11/(D$41-D$29)*F30)))</f>
        <v>28</v>
      </c>
      <c r="M30" s="256">
        <f t="shared" ref="M30:M40" si="9">M29+L30</f>
        <v>59</v>
      </c>
      <c r="N30" s="256">
        <f ca="1">IF($E$5=1,FEB!$F$12,IF($E$5=2,FEB!$G$12,IF($E$5=3,FEB!$H$12,"")))</f>
        <v>0</v>
      </c>
      <c r="O30" s="256">
        <f ca="1">IF($E$5=1,FEB!$F$21,IF($E$5=2,FEB!$G$21,IF($E$5=3,FEB!$H$21,"")))</f>
        <v>0</v>
      </c>
      <c r="P30" s="256">
        <f ca="1">IF($E$5=1,FEB!$F$30,IF($E$5=2,FEB!$G$30,IF($E$5=3,FEB!$H$30,"")))</f>
        <v>-1.2427401132386871E-58</v>
      </c>
      <c r="Q30" s="256">
        <f ca="1">IF($E$5=1,FEB!$F$39,IF($E$5=2,FEB!$G$39,IF($E$5=3,FEB!$H$39,"")))</f>
        <v>-1.2427401132386871E-58</v>
      </c>
      <c r="R30" s="256">
        <f ca="1">IF($E$5=1,FEB!$F$48,IF($E$5=2,FEB!$G$48,IF($E$5=3,FEB!$H$48,"")))</f>
        <v>-1.2427401132386871E-58</v>
      </c>
      <c r="S30" s="256" t="str">
        <f>IF(FEB!$H$53=-1E-55,"",IF($E$5=1,FEB!$F$52,IF($E$5=2,FEB!$G$52,IF($E$5=3,FEB!$H$52,""))))</f>
        <v/>
      </c>
      <c r="T30" s="256">
        <f ca="1">IF(TODAY()&gt;=C31-1,0,G30)</f>
        <v>-3.7282203397160613E-58</v>
      </c>
      <c r="U30" s="257">
        <f ca="1">IF($G30&lt;0.0011,0,VLOOKUP($C$8,FEB!$C$4:$AA$56,25)-VLOOKUP($C$8-1,FEB!$C$4:$AA$56,25))</f>
        <v>0</v>
      </c>
      <c r="V30" s="258" t="str">
        <f ca="1">IF($C$8&lt;D30-1,0,IF($C$8&gt;D31-1,0,VLOOKUP($C$8,FEB!$C$4:$AA$56,3)))</f>
        <v>Wednesday</v>
      </c>
      <c r="W30" s="259">
        <f t="shared" ref="W30:W40" ca="1" si="10">IF(TODAY()&gt;=C31-1,IF((AB30-G30)&gt;0,G30,0),0)</f>
        <v>0</v>
      </c>
      <c r="X30" s="259">
        <f t="shared" si="4"/>
        <v>0.56000000000000005</v>
      </c>
      <c r="Y30" s="260">
        <f t="shared" ref="Y30:Y40" ca="1" si="11">IF(TODAY()&gt;=C31-1,IF((AB30-G30)&lt;0,G30,0),0)</f>
        <v>0</v>
      </c>
      <c r="Z30" s="230">
        <f t="shared" ref="Z30:Z40" ca="1" si="12">IF(TODAY()&gt;(D31-1),0-L30/100,IF(TODAY()&lt;D30,0-L30/100,(TODAY()-D30+1)/F30*AB30))</f>
        <v>7.6497005988023945</v>
      </c>
      <c r="AA30" s="261">
        <f t="shared" ca="1" si="5"/>
        <v>-3.7282203397160613E-58</v>
      </c>
      <c r="AB30" s="262">
        <f t="shared" ref="AB30:AB40" ca="1" si="13">IF(TODAY()&gt;D30-7,(M$40-H29)/AC30*F30,-1)</f>
        <v>30.598802395209578</v>
      </c>
      <c r="AC30" s="234">
        <f t="shared" si="6"/>
        <v>334</v>
      </c>
      <c r="AD30" s="262">
        <f t="shared" ref="AD30:AD40" ca="1" si="14">IF(TODAY()&gt;D30-7,(M$40-H29)/AC30*F30,-1)</f>
        <v>30.598802395209578</v>
      </c>
      <c r="AE30" s="311" t="s">
        <v>92</v>
      </c>
      <c r="AF30" s="263" t="str">
        <f>FEB!$L$53</f>
        <v/>
      </c>
      <c r="AG30" s="263" t="str">
        <f>FEB!$L$54</f>
        <v/>
      </c>
      <c r="AH30" s="263" t="str">
        <f>FEB!$L$55</f>
        <v/>
      </c>
      <c r="AI30" s="263" t="str">
        <f>FEB!$L$56</f>
        <v/>
      </c>
      <c r="AJ30" s="263" t="str">
        <f>FEB!$L$57</f>
        <v/>
      </c>
      <c r="AK30" s="263">
        <f>FEB!$L$59</f>
        <v>0</v>
      </c>
      <c r="AL30" s="312">
        <f>FEB!L$40</f>
        <v>0</v>
      </c>
      <c r="AM30" s="264" t="str">
        <f>IFERROR(FEB!$M$53,"zero")</f>
        <v/>
      </c>
      <c r="AN30" s="264" t="str">
        <f>IFERROR(FEB!$M$54,"zero")</f>
        <v/>
      </c>
      <c r="AO30" s="264" t="str">
        <f>IFERROR(FEB!$M$55,"zero")</f>
        <v/>
      </c>
      <c r="AP30" s="264" t="str">
        <f>IFERROR(FEB!$M$56,"zero")</f>
        <v/>
      </c>
      <c r="AQ30" s="264" t="str">
        <f>IFERROR(FEB!$M$57,"zero")</f>
        <v/>
      </c>
      <c r="AR30" s="264">
        <f t="shared" ref="AR30" si="15">SUM(AM30:AQ30)</f>
        <v>0</v>
      </c>
      <c r="AS30" s="239"/>
      <c r="AT30" s="239"/>
      <c r="AU30" s="239"/>
      <c r="AV30" s="239"/>
      <c r="AW30" s="239"/>
      <c r="AX30" s="265"/>
      <c r="AY30" s="239"/>
      <c r="AZ30" s="313" t="str">
        <f>JAN!O58</f>
        <v>time   /h</v>
      </c>
      <c r="BA30" s="266">
        <f>JAN!P58+FEB!P58+MAR!P58+APR!P58+MAY!P58+JUN!P58+JUL!P58+AUG!P58+SEP!P58+OCT!P58+NOV!P58+DEC!P58</f>
        <v>0</v>
      </c>
      <c r="BB30" s="266">
        <f>JAN!Q58+FEB!Q58+MAR!Q58+APR!Q58+MAY!Q58+JUN!Q58+JUL!Q58+AUG!Q58+SEP!Q58+OCT!Q58+NOV!Q58+DEC!Q58</f>
        <v>0</v>
      </c>
      <c r="BC30" s="266">
        <f>JAN!R58+FEB!R58+MAR!R58+APR!R58+MAY!R58+JUN!R58+JUL!R58+AUG!R58+SEP!R58+OCT!R58+NOV!R58+DEC!R58</f>
        <v>0</v>
      </c>
      <c r="BD30" s="266">
        <f>JAN!S58+FEB!S58+MAR!S58+APR!S58+MAY!S58+JUN!S58+JUL!S58+AUG!S58+SEP!S58+OCT!S58+NOV!S58+DEC!S58</f>
        <v>0</v>
      </c>
      <c r="BE30" s="266">
        <f>JAN!T58+FEB!T58+MAR!T58+APR!T58+MAY!T58+JUN!T58+JUL!T58+AUG!T58+SEP!T58+OCT!T58+NOV!T58+DEC!T58</f>
        <v>0</v>
      </c>
      <c r="BF30" s="266">
        <f>JAN!U58+FEB!U58+MAR!U58+APR!U58+MAY!U58+JUN!U58+JUL!U58+AUG!U58+SEP!U58+OCT!U58+NOV!U58+DEC!U58</f>
        <v>0</v>
      </c>
      <c r="BG30" s="266">
        <f>JAN!V58+FEB!V58+MAR!V58+APR!V58+MAY!V58+JUN!V58+JUL!V58+AUG!V58+SEP!V58+OCT!V58+NOV!V58+DEC!V58</f>
        <v>0</v>
      </c>
      <c r="BH30" s="239"/>
      <c r="BI30" s="100"/>
      <c r="BJ30" s="100"/>
      <c r="BK30" s="100"/>
      <c r="BL30" s="100"/>
    </row>
    <row r="31" spans="1:64" ht="23">
      <c r="A31" s="239"/>
      <c r="B31" s="240">
        <v>3</v>
      </c>
      <c r="C31" s="252">
        <f>(ROUNDDOWN(((D30-C30)+F30)/7,0))*7+C30</f>
        <v>43157</v>
      </c>
      <c r="D31" s="253">
        <f>D30+F30</f>
        <v>43160</v>
      </c>
      <c r="E31" s="254" t="s">
        <v>94</v>
      </c>
      <c r="F31" s="234">
        <v>31</v>
      </c>
      <c r="G31" s="255">
        <f ca="1">SUM(N31:S31)</f>
        <v>-4.9709604529547484E-58</v>
      </c>
      <c r="H31" s="256">
        <f t="shared" ref="H31:H39" ca="1" si="16">H30+G31</f>
        <v>-8.6991807926708104E-58</v>
      </c>
      <c r="I31" s="256">
        <f>MAR!H$55</f>
        <v>0</v>
      </c>
      <c r="J31" s="256">
        <f t="shared" ref="J31:J40" si="17">J30+I31</f>
        <v>0</v>
      </c>
      <c r="K31" s="256">
        <f t="shared" ref="K31:K40" si="18">B$11/SUM(F$29:F$40)*F31+K30</f>
        <v>144840.95982619084</v>
      </c>
      <c r="L31" s="256">
        <f t="shared" si="3"/>
        <v>31</v>
      </c>
      <c r="M31" s="256">
        <f t="shared" si="9"/>
        <v>90</v>
      </c>
      <c r="N31" s="256">
        <f ca="1">IF($E$5=1,MAR!$F$12,IF($E$5=2,MAR!$G$12,IF($E$5=3,MAR!$H$12,"")))</f>
        <v>0</v>
      </c>
      <c r="O31" s="256">
        <f ca="1">IF($E$5=1,MAR!$F$21,IF($E$5=2,MAR!$G$21,IF($E$5=3,MAR!$H$21,"")))</f>
        <v>-1.2427401132386871E-58</v>
      </c>
      <c r="P31" s="256">
        <f ca="1">IF($E$5=1,MAR!$F$30,IF($E$5=2,MAR!$G$30,IF($E$5=3,MAR!$H$30,"")))</f>
        <v>-1.2427401132386871E-58</v>
      </c>
      <c r="Q31" s="256">
        <f ca="1">IF($E$5=1,MAR!$F$39,IF($E$5=2,MAR!$G$39,IF($E$5=3,MAR!$H$39,"")))</f>
        <v>-1.2427401132386871E-58</v>
      </c>
      <c r="R31" s="256">
        <f ca="1">IF($E$5=1,MAR!$F$48,IF($E$5=2,MAR!$G$48,IF($E$5=3,MAR!$H$48,"")))</f>
        <v>-1.2427401132386871E-58</v>
      </c>
      <c r="S31" s="256" t="str">
        <f>IF(MAR!$H$53=-1E-55,"",IF($E$5=1,MAR!$F$52,IF($E$5=2,MAR!$G$52,IF($E$5=3,MAR!$H$52,""))))</f>
        <v/>
      </c>
      <c r="T31" s="256">
        <f ca="1">IF(TODAY()&gt;=C32-1,0,G31)</f>
        <v>-4.9709604529547484E-58</v>
      </c>
      <c r="U31" s="257">
        <f ca="1">IF($G31&lt;0.0011,0,VLOOKUP($C$8,MAR!$C$4:$AA$56,25)-VLOOKUP($C$8-1,MAR!$C$4:$AA$56,25))</f>
        <v>0</v>
      </c>
      <c r="V31" s="258">
        <f ca="1">IF($C$8&lt;D31-1,0,IF($C$8&gt;D32-1,0,VLOOKUP($C$8,MAR!$C$4:$AA$56,3)))</f>
        <v>0</v>
      </c>
      <c r="W31" s="259">
        <f t="shared" ca="1" si="10"/>
        <v>0</v>
      </c>
      <c r="X31" s="259">
        <f t="shared" si="4"/>
        <v>0.62</v>
      </c>
      <c r="Y31" s="260">
        <f t="shared" ca="1" si="11"/>
        <v>0</v>
      </c>
      <c r="Z31" s="230">
        <f t="shared" ca="1" si="12"/>
        <v>-0.31</v>
      </c>
      <c r="AA31" s="261">
        <f t="shared" ca="1" si="5"/>
        <v>-4.9709604529547484E-58</v>
      </c>
      <c r="AB31" s="262">
        <f t="shared" ca="1" si="13"/>
        <v>-1</v>
      </c>
      <c r="AC31" s="234">
        <f t="shared" si="6"/>
        <v>306</v>
      </c>
      <c r="AD31" s="262">
        <f t="shared" ca="1" si="14"/>
        <v>-1</v>
      </c>
      <c r="AE31" s="311" t="s">
        <v>94</v>
      </c>
      <c r="AF31" s="263" t="str">
        <f>MAR!$L$53</f>
        <v/>
      </c>
      <c r="AG31" s="263" t="str">
        <f>MAR!$L$54</f>
        <v/>
      </c>
      <c r="AH31" s="263" t="str">
        <f>MAR!$L$55</f>
        <v/>
      </c>
      <c r="AI31" s="263" t="str">
        <f>MAR!$L$56</f>
        <v/>
      </c>
      <c r="AJ31" s="263" t="str">
        <f>MAR!$L$57</f>
        <v/>
      </c>
      <c r="AK31" s="263">
        <f>MAR!$L$59</f>
        <v>0</v>
      </c>
      <c r="AL31" s="312">
        <f>MAR!L$40</f>
        <v>0</v>
      </c>
      <c r="AM31" s="264" t="str">
        <f>IFERROR(MAR!$M$53,"zero")</f>
        <v/>
      </c>
      <c r="AN31" s="264" t="str">
        <f>IFERROR(MAR!$M$54,"zero")</f>
        <v/>
      </c>
      <c r="AO31" s="264" t="str">
        <f>IFERROR(MAR!$M$55,"zero")</f>
        <v/>
      </c>
      <c r="AP31" s="264" t="str">
        <f>IFERROR(MAR!$M$56,"zero")</f>
        <v/>
      </c>
      <c r="AQ31" s="264" t="str">
        <f>IFERROR(MAR!$M$57,"zero")</f>
        <v/>
      </c>
      <c r="AR31" s="264">
        <f t="shared" ref="AR31:AR34" si="19">SUM(AM31:AQ31)</f>
        <v>0</v>
      </c>
      <c r="AS31" s="239"/>
      <c r="AT31" s="239"/>
      <c r="AU31" s="239"/>
      <c r="AV31" s="239"/>
      <c r="AW31" s="239"/>
      <c r="AX31" s="265"/>
      <c r="AY31" s="239"/>
      <c r="AZ31" s="314" t="s">
        <v>111</v>
      </c>
      <c r="BA31" s="268">
        <f>IFERROR(IF($A$15=3,BA29/BA30/1000,IF($A$15=2,BA29/BA30/1760,BA29/BA30)),0)</f>
        <v>0</v>
      </c>
      <c r="BB31" s="268">
        <f t="shared" ref="BB31:BG31" si="20">IFERROR(IF($A$15=3,BB29/BB30/1000,IF($A$15=2,BB29/BB30/1760,BB29/BB30)),0)</f>
        <v>0</v>
      </c>
      <c r="BC31" s="268">
        <f t="shared" si="20"/>
        <v>0</v>
      </c>
      <c r="BD31" s="268">
        <f t="shared" si="20"/>
        <v>0</v>
      </c>
      <c r="BE31" s="268">
        <f t="shared" si="20"/>
        <v>0</v>
      </c>
      <c r="BF31" s="268">
        <f t="shared" si="20"/>
        <v>0</v>
      </c>
      <c r="BG31" s="268">
        <f t="shared" si="20"/>
        <v>0</v>
      </c>
      <c r="BH31" s="239"/>
      <c r="BI31" s="100"/>
      <c r="BJ31" s="100"/>
      <c r="BK31" s="100"/>
      <c r="BL31" s="100"/>
    </row>
    <row r="32" spans="1:64" ht="23">
      <c r="A32" s="239"/>
      <c r="B32" s="240">
        <v>4</v>
      </c>
      <c r="C32" s="252">
        <f t="shared" ref="C32:C41" si="21">(ROUNDDOWN(((D31-C31)+F31)/7,0))*7+C31</f>
        <v>43185</v>
      </c>
      <c r="D32" s="253">
        <f t="shared" si="7"/>
        <v>43191</v>
      </c>
      <c r="E32" s="254" t="s">
        <v>95</v>
      </c>
      <c r="F32" s="234">
        <v>30</v>
      </c>
      <c r="G32" s="255">
        <f t="shared" ca="1" si="8"/>
        <v>-6.2137005661934355E-58</v>
      </c>
      <c r="H32" s="256">
        <f t="shared" ca="1" si="16"/>
        <v>-1.4912881358864245E-57</v>
      </c>
      <c r="I32" s="256">
        <f>APR!H$55</f>
        <v>0</v>
      </c>
      <c r="J32" s="256">
        <f t="shared" si="17"/>
        <v>0</v>
      </c>
      <c r="K32" s="256">
        <f t="shared" si="18"/>
        <v>193121.27976825443</v>
      </c>
      <c r="L32" s="256">
        <f t="shared" si="3"/>
        <v>30</v>
      </c>
      <c r="M32" s="256">
        <f t="shared" si="9"/>
        <v>120</v>
      </c>
      <c r="N32" s="256">
        <f ca="1">IF($E$5=1,APR!$F$12,IF($E$5=2,APR!$G$12,IF($E$5=3,APR!$H$12,"")))</f>
        <v>0</v>
      </c>
      <c r="O32" s="256">
        <f ca="1">IF($E$5=1,APR!$F$21,IF($E$5=2,APR!$G$21,IF($E$5=3,APR!$H$21,"")))</f>
        <v>-1.2427401132386871E-58</v>
      </c>
      <c r="P32" s="256">
        <f ca="1">IF($E$5=1,APR!$F$30,IF($E$5=2,APR!$G$30,IF($E$5=3,APR!$H$30,"")))</f>
        <v>-1.2427401132386871E-58</v>
      </c>
      <c r="Q32" s="256">
        <f ca="1">IF($E$5=1,APR!$F$39,IF($E$5=2,APR!$G$39,IF($E$5=3,APR!$H$39,"")))</f>
        <v>-1.2427401132386871E-58</v>
      </c>
      <c r="R32" s="256">
        <f ca="1">IF($E$5=1,APR!$F$48,IF($E$5=2,APR!$G$48,IF($E$5=3,APR!$H$48,"")))</f>
        <v>-1.2427401132386871E-58</v>
      </c>
      <c r="S32" s="256">
        <f ca="1">IF(APR!$H$53=-1E-55,"",IF($E$5=1,APR!$F$52,IF($E$5=2,APR!$G$52,IF($E$5=3,APR!$H$52,""))))</f>
        <v>-1.2427401132386871E-58</v>
      </c>
      <c r="T32" s="256">
        <f t="shared" ref="T32:T40" ca="1" si="22">IF(TODAY()&gt;=C33-1,0,G32)</f>
        <v>-6.2137005661934355E-58</v>
      </c>
      <c r="U32" s="257">
        <f ca="1">IF($G32&lt;0.0011,0,VLOOKUP($C$8,APR!$C$4:$AA$56,25)-VLOOKUP($C$8-1,APR!$C$4:$AA$56,25))</f>
        <v>0</v>
      </c>
      <c r="V32" s="258">
        <f ca="1">IF($C$8&lt;D32-1,0,IF($C$8&gt;D33-1,0,VLOOKUP($C$8,APR!$C$4:$AA$56,3)))</f>
        <v>0</v>
      </c>
      <c r="W32" s="259">
        <f t="shared" ca="1" si="10"/>
        <v>0</v>
      </c>
      <c r="X32" s="259">
        <f t="shared" si="4"/>
        <v>0.6</v>
      </c>
      <c r="Y32" s="260">
        <f t="shared" ca="1" si="11"/>
        <v>0</v>
      </c>
      <c r="Z32" s="230">
        <f t="shared" ca="1" si="12"/>
        <v>-0.3</v>
      </c>
      <c r="AA32" s="261">
        <f t="shared" ca="1" si="5"/>
        <v>-6.2137005661934355E-58</v>
      </c>
      <c r="AB32" s="262">
        <f t="shared" ca="1" si="13"/>
        <v>-1</v>
      </c>
      <c r="AC32" s="234">
        <f t="shared" si="6"/>
        <v>275</v>
      </c>
      <c r="AD32" s="262">
        <f t="shared" ca="1" si="14"/>
        <v>-1</v>
      </c>
      <c r="AE32" s="311" t="s">
        <v>95</v>
      </c>
      <c r="AF32" s="263" t="str">
        <f>APR!$L$53</f>
        <v/>
      </c>
      <c r="AG32" s="263" t="str">
        <f>APR!$L$54</f>
        <v/>
      </c>
      <c r="AH32" s="263" t="str">
        <f>APR!$L$55</f>
        <v/>
      </c>
      <c r="AI32" s="263" t="str">
        <f>APR!$L$56</f>
        <v/>
      </c>
      <c r="AJ32" s="263" t="str">
        <f>APR!$L$57</f>
        <v/>
      </c>
      <c r="AK32" s="263">
        <f>APR!$L$59</f>
        <v>0</v>
      </c>
      <c r="AL32" s="312">
        <f>APR!L$40</f>
        <v>0</v>
      </c>
      <c r="AM32" s="264" t="str">
        <f>IFERROR(APR!$M$53,"zero")</f>
        <v/>
      </c>
      <c r="AN32" s="264" t="str">
        <f>IFERROR(APR!$M$54,"zero")</f>
        <v/>
      </c>
      <c r="AO32" s="264" t="str">
        <f>IFERROR(APR!$M$55,"zero")</f>
        <v/>
      </c>
      <c r="AP32" s="264" t="str">
        <f>IFERROR(APR!$M$56,"zero")</f>
        <v/>
      </c>
      <c r="AQ32" s="264" t="str">
        <f>IFERROR(APR!$M$57,"zero")</f>
        <v/>
      </c>
      <c r="AR32" s="264">
        <f t="shared" si="19"/>
        <v>0</v>
      </c>
      <c r="AS32" s="239"/>
      <c r="AT32" s="239"/>
      <c r="AU32" s="239"/>
      <c r="AV32" s="239"/>
      <c r="AW32" s="239"/>
      <c r="AX32" s="265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100"/>
      <c r="BJ32" s="100"/>
      <c r="BK32" s="100"/>
      <c r="BL32" s="100"/>
    </row>
    <row r="33" spans="1:64" ht="23">
      <c r="A33" s="239"/>
      <c r="B33" s="240">
        <v>5</v>
      </c>
      <c r="C33" s="252">
        <f t="shared" si="21"/>
        <v>43220</v>
      </c>
      <c r="D33" s="253">
        <f t="shared" si="7"/>
        <v>43221</v>
      </c>
      <c r="E33" s="254" t="s">
        <v>96</v>
      </c>
      <c r="F33" s="234">
        <v>31</v>
      </c>
      <c r="G33" s="255">
        <f t="shared" ca="1" si="8"/>
        <v>-4.9709604529547484E-58</v>
      </c>
      <c r="H33" s="256">
        <f t="shared" ca="1" si="16"/>
        <v>-1.9883841811818993E-57</v>
      </c>
      <c r="I33" s="256">
        <f>MAY!H$55</f>
        <v>0</v>
      </c>
      <c r="J33" s="256">
        <f t="shared" si="17"/>
        <v>0</v>
      </c>
      <c r="K33" s="256">
        <f t="shared" si="18"/>
        <v>243010.94370838683</v>
      </c>
      <c r="L33" s="256">
        <f t="shared" si="3"/>
        <v>31</v>
      </c>
      <c r="M33" s="256">
        <f t="shared" si="9"/>
        <v>151</v>
      </c>
      <c r="N33" s="256">
        <f ca="1">IF($E$5=1,MAY!$F$12,IF($E$5=2,MAY!$G$12,IF($E$5=3,MAY!$H$12,"")))</f>
        <v>0</v>
      </c>
      <c r="O33" s="256">
        <f ca="1">IF($E$5=1,MAY!$F$21,IF($E$5=2,MAY!$G$21,IF($E$5=3,MAY!$H$21,"")))</f>
        <v>-1.2427401132386871E-58</v>
      </c>
      <c r="P33" s="256">
        <f ca="1">IF($E$5=1,MAY!$F$30,IF($E$5=2,MAY!$G$30,IF($E$5=3,MAY!$H$30,"")))</f>
        <v>-1.2427401132386871E-58</v>
      </c>
      <c r="Q33" s="256">
        <f ca="1">IF($E$5=1,MAY!$F$39,IF($E$5=2,MAY!$G$39,IF($E$5=3,MAY!$H$39,"")))</f>
        <v>-1.2427401132386871E-58</v>
      </c>
      <c r="R33" s="256">
        <f ca="1">IF($E$5=1,MAY!$F$48,IF($E$5=2,MAY!$G$48,IF($E$5=3,MAY!$H$48,"")))</f>
        <v>-1.2427401132386871E-58</v>
      </c>
      <c r="S33" s="256" t="str">
        <f>IF(MAY!$H$53=-1E-55,"",IF($E$5=1,MAY!$F$52,IF($E$5=2,MAY!$G$52,IF($E$5=3,MAY!$H$52,""))))</f>
        <v/>
      </c>
      <c r="T33" s="256">
        <f t="shared" ca="1" si="22"/>
        <v>-4.9709604529547484E-58</v>
      </c>
      <c r="U33" s="257">
        <f ca="1">IF($G33&lt;0.0011,0,VLOOKUP($C$8,MAY!$C$4:$AA$56,25)-VLOOKUP($C$8-1,MAY!$C$4:$AA$56,25))</f>
        <v>0</v>
      </c>
      <c r="V33" s="258">
        <f ca="1">IF($C$8&lt;D33-1,0,IF($C$8&gt;D34-1,0,VLOOKUP($C$8,MAY!$C$4:$AA$56,3)))</f>
        <v>0</v>
      </c>
      <c r="W33" s="259">
        <f t="shared" ca="1" si="10"/>
        <v>0</v>
      </c>
      <c r="X33" s="259">
        <f t="shared" si="4"/>
        <v>0.62</v>
      </c>
      <c r="Y33" s="260">
        <f t="shared" ca="1" si="11"/>
        <v>0</v>
      </c>
      <c r="Z33" s="230">
        <f t="shared" ca="1" si="12"/>
        <v>-0.31</v>
      </c>
      <c r="AA33" s="261">
        <f t="shared" ca="1" si="5"/>
        <v>-4.9709604529547484E-58</v>
      </c>
      <c r="AB33" s="262">
        <f t="shared" ca="1" si="13"/>
        <v>-1</v>
      </c>
      <c r="AC33" s="234">
        <f t="shared" si="6"/>
        <v>245</v>
      </c>
      <c r="AD33" s="262">
        <f t="shared" ca="1" si="14"/>
        <v>-1</v>
      </c>
      <c r="AE33" s="311" t="s">
        <v>96</v>
      </c>
      <c r="AF33" s="263" t="str">
        <f>MAY!$L$53</f>
        <v/>
      </c>
      <c r="AG33" s="263" t="str">
        <f>MAY!$L$54</f>
        <v/>
      </c>
      <c r="AH33" s="263" t="str">
        <f>MAY!$L$55</f>
        <v/>
      </c>
      <c r="AI33" s="263" t="str">
        <f>MAY!$L$56</f>
        <v/>
      </c>
      <c r="AJ33" s="263" t="str">
        <f>MAY!$L$57</f>
        <v/>
      </c>
      <c r="AK33" s="263">
        <f>MAY!$L$59</f>
        <v>0</v>
      </c>
      <c r="AL33" s="312">
        <f>MAY!L$40</f>
        <v>0</v>
      </c>
      <c r="AM33" s="264" t="str">
        <f>IFERROR(MAY!$M$53,"zero")</f>
        <v/>
      </c>
      <c r="AN33" s="264" t="str">
        <f>IFERROR(MAY!$M$54,"zero")</f>
        <v/>
      </c>
      <c r="AO33" s="264" t="str">
        <f>IFERROR(MAY!$M$55,"zero")</f>
        <v/>
      </c>
      <c r="AP33" s="264" t="str">
        <f>IFERROR(MAY!$M$56,"zero")</f>
        <v/>
      </c>
      <c r="AQ33" s="264" t="str">
        <f>IFERROR(MAY!$M$57,"zero")</f>
        <v/>
      </c>
      <c r="AR33" s="264">
        <f t="shared" si="19"/>
        <v>0</v>
      </c>
      <c r="AS33" s="239"/>
      <c r="AT33" s="239"/>
      <c r="AU33" s="239"/>
      <c r="AV33" s="239"/>
      <c r="AW33" s="239"/>
      <c r="AX33" s="265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100"/>
      <c r="BJ33" s="100"/>
      <c r="BK33" s="100"/>
      <c r="BL33" s="100"/>
    </row>
    <row r="34" spans="1:64" ht="21.75" customHeight="1">
      <c r="A34" s="239"/>
      <c r="B34" s="240">
        <v>6</v>
      </c>
      <c r="C34" s="252">
        <f t="shared" si="21"/>
        <v>43248</v>
      </c>
      <c r="D34" s="253">
        <f t="shared" si="7"/>
        <v>43252</v>
      </c>
      <c r="E34" s="254" t="s">
        <v>97</v>
      </c>
      <c r="F34" s="234">
        <v>30</v>
      </c>
      <c r="G34" s="255">
        <f t="shared" ca="1" si="8"/>
        <v>-4.9709604529547484E-58</v>
      </c>
      <c r="H34" s="256">
        <f t="shared" ca="1" si="16"/>
        <v>-2.4854802264773742E-57</v>
      </c>
      <c r="I34" s="256">
        <f>JUN!H$55</f>
        <v>0</v>
      </c>
      <c r="J34" s="256">
        <f t="shared" si="17"/>
        <v>0</v>
      </c>
      <c r="K34" s="256">
        <f t="shared" si="18"/>
        <v>291291.26365045045</v>
      </c>
      <c r="L34" s="256">
        <f t="shared" si="3"/>
        <v>30</v>
      </c>
      <c r="M34" s="256">
        <f t="shared" si="9"/>
        <v>181</v>
      </c>
      <c r="N34" s="256">
        <f ca="1">IF($E$5=1,JUN!$F$12,IF($E$5=2,JUN!$G$12,IF($E$5=3,JUN!$H$12,"")))</f>
        <v>0</v>
      </c>
      <c r="O34" s="256">
        <f ca="1">IF($E$5=1,JUN!$F$21,IF($E$5=2,JUN!$G$21,IF($E$5=3,JUN!$H$21,"")))</f>
        <v>-1.2427401132386871E-58</v>
      </c>
      <c r="P34" s="256">
        <f ca="1">IF($E$5=1,JUN!$F$30,IF($E$5=2,JUN!$G$30,IF($E$5=3,JUN!$H$30,"")))</f>
        <v>-1.2427401132386871E-58</v>
      </c>
      <c r="Q34" s="256">
        <f ca="1">IF($E$5=1,JUN!$F$39,IF($E$5=2,JUN!$G$39,IF($E$5=3,JUN!$H$39,"")))</f>
        <v>-1.2427401132386871E-58</v>
      </c>
      <c r="R34" s="256">
        <f ca="1">IF($E$5=1,JUN!$F$48,IF($E$5=2,JUN!$G$48,IF($E$5=3,JUN!$H$48,"")))</f>
        <v>-1.2427401132386871E-58</v>
      </c>
      <c r="S34" s="256" t="str">
        <f>IF(JUN!$H$53=-1E-55,"",IF($E$5=1,JUN!$F$52,IF($E$5=2,JUN!$G$52,IF($E$5=3,JUN!$H$52,""))))</f>
        <v/>
      </c>
      <c r="T34" s="256">
        <f t="shared" ca="1" si="22"/>
        <v>-4.9709604529547484E-58</v>
      </c>
      <c r="U34" s="257">
        <f ca="1">IF($G34&lt;0.0011,0,VLOOKUP($C$8,JUN!$C$4:$AA$56,25)-VLOOKUP($C$8-1,JUN!$C$4:$AA$56,25))</f>
        <v>0</v>
      </c>
      <c r="V34" s="258">
        <f ca="1">IF($C$8&lt;D34-1,0,IF($C$8&gt;D35-1,0,VLOOKUP($C$8,JUN!$C$4:$AA$56,3)))</f>
        <v>0</v>
      </c>
      <c r="W34" s="259">
        <f t="shared" ca="1" si="10"/>
        <v>0</v>
      </c>
      <c r="X34" s="259">
        <f t="shared" si="4"/>
        <v>0.6</v>
      </c>
      <c r="Y34" s="260">
        <f t="shared" ca="1" si="11"/>
        <v>0</v>
      </c>
      <c r="Z34" s="230">
        <f t="shared" ca="1" si="12"/>
        <v>-0.3</v>
      </c>
      <c r="AA34" s="261">
        <f t="shared" ca="1" si="5"/>
        <v>-4.9709604529547484E-58</v>
      </c>
      <c r="AB34" s="262">
        <f t="shared" ca="1" si="13"/>
        <v>-1</v>
      </c>
      <c r="AC34" s="234">
        <f t="shared" si="6"/>
        <v>214</v>
      </c>
      <c r="AD34" s="262">
        <f t="shared" ca="1" si="14"/>
        <v>-1</v>
      </c>
      <c r="AE34" s="311" t="s">
        <v>97</v>
      </c>
      <c r="AF34" s="263" t="str">
        <f>JUN!$L$53</f>
        <v/>
      </c>
      <c r="AG34" s="263" t="str">
        <f>JUN!$L$54</f>
        <v/>
      </c>
      <c r="AH34" s="263" t="str">
        <f>JUN!$L$55</f>
        <v/>
      </c>
      <c r="AI34" s="263" t="str">
        <f>JUN!$L$56</f>
        <v/>
      </c>
      <c r="AJ34" s="263" t="str">
        <f>JUN!$L$57</f>
        <v/>
      </c>
      <c r="AK34" s="263">
        <f>JUN!$L$59</f>
        <v>0</v>
      </c>
      <c r="AL34" s="312">
        <f>JUN!L$40</f>
        <v>0</v>
      </c>
      <c r="AM34" s="264" t="str">
        <f>IFERROR(JUN!$M$53,"zero")</f>
        <v/>
      </c>
      <c r="AN34" s="264" t="str">
        <f>IFERROR(JUN!$M$54,"zero")</f>
        <v/>
      </c>
      <c r="AO34" s="264" t="str">
        <f>IFERROR(JUN!$M$55,"zero")</f>
        <v/>
      </c>
      <c r="AP34" s="264" t="str">
        <f>IFERROR(JUN!$M$56,"zero")</f>
        <v/>
      </c>
      <c r="AQ34" s="264" t="str">
        <f>IFERROR(JUN!$M$57,"zero")</f>
        <v/>
      </c>
      <c r="AR34" s="264">
        <f t="shared" si="19"/>
        <v>0</v>
      </c>
      <c r="AS34" s="239"/>
      <c r="AT34" s="239"/>
      <c r="AU34" s="239"/>
      <c r="AV34" s="239"/>
      <c r="AW34" s="239"/>
      <c r="AX34" s="265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100"/>
      <c r="BJ34" s="100"/>
      <c r="BK34" s="100"/>
      <c r="BL34" s="100"/>
    </row>
    <row r="35" spans="1:64" ht="23">
      <c r="A35" s="239"/>
      <c r="B35" s="240">
        <v>7</v>
      </c>
      <c r="C35" s="252">
        <f t="shared" si="21"/>
        <v>43276</v>
      </c>
      <c r="D35" s="253">
        <f t="shared" si="7"/>
        <v>43282</v>
      </c>
      <c r="E35" s="254" t="s">
        <v>98</v>
      </c>
      <c r="F35" s="234">
        <v>31</v>
      </c>
      <c r="G35" s="255">
        <f t="shared" ca="1" si="8"/>
        <v>-6.2137005661934355E-58</v>
      </c>
      <c r="H35" s="256">
        <f t="shared" ca="1" si="16"/>
        <v>-3.1068502830967177E-57</v>
      </c>
      <c r="I35" s="256">
        <f>JUL!H$55</f>
        <v>0</v>
      </c>
      <c r="J35" s="256">
        <f t="shared" si="17"/>
        <v>0</v>
      </c>
      <c r="K35" s="256">
        <f t="shared" si="18"/>
        <v>341180.92759058287</v>
      </c>
      <c r="L35" s="256">
        <f t="shared" si="3"/>
        <v>31</v>
      </c>
      <c r="M35" s="256">
        <f t="shared" si="9"/>
        <v>212</v>
      </c>
      <c r="N35" s="256">
        <f ca="1">IF($E$5=1,JUL!$F$12,IF($E$5=2,JUL!$G$12,IF($E$5=3,JUL!$H$12,"")))</f>
        <v>0</v>
      </c>
      <c r="O35" s="256">
        <f ca="1">IF($E$5=1,JUL!$F$21,IF($E$5=2,JUL!$G$21,IF($E$5=3,JUL!$H$21,"")))</f>
        <v>-1.2427401132386871E-58</v>
      </c>
      <c r="P35" s="256">
        <f ca="1">IF($E$5=1,JUL!$F$30,IF($E$5=2,JUL!$G$30,IF($E$5=3,JUL!$H$30,"")))</f>
        <v>-1.2427401132386871E-58</v>
      </c>
      <c r="Q35" s="256">
        <f ca="1">IF($E$5=1,JUL!$F$39,IF($E$5=2,JUL!$G$39,IF($E$5=3,JUL!$H$39,"")))</f>
        <v>-1.2427401132386871E-58</v>
      </c>
      <c r="R35" s="256">
        <f ca="1">IF($E$5=1,JUL!$F$48,IF($E$5=2,JUL!$G$48,IF($E$5=3,JUL!$H$48,"")))</f>
        <v>-1.2427401132386871E-58</v>
      </c>
      <c r="S35" s="256">
        <f ca="1">IF(JUL!$H$53=-1E-55,"",IF($E$5=1,JUL!$F$52,IF($E$5=2,JUL!$G$52,IF($E$5=3,JUL!$H$52,""))))</f>
        <v>-1.2427401132386871E-58</v>
      </c>
      <c r="T35" s="256">
        <f t="shared" ca="1" si="22"/>
        <v>-6.2137005661934355E-58</v>
      </c>
      <c r="U35" s="257">
        <f ca="1">IF($G35&lt;0.0011,0,VLOOKUP($C$8,JUL!$C$4:$AA$56,25)-VLOOKUP($C$8-1,JUL!$C$4:$AA$56,25))</f>
        <v>0</v>
      </c>
      <c r="V35" s="258">
        <f ca="1">IF($C$8&lt;D35-1,0,IF($C$8&gt;D36-1,0,VLOOKUP($C$8,JUL!$C$4:$AA$56,3)))</f>
        <v>0</v>
      </c>
      <c r="W35" s="259">
        <f t="shared" ca="1" si="10"/>
        <v>0</v>
      </c>
      <c r="X35" s="259">
        <f t="shared" si="4"/>
        <v>0.62</v>
      </c>
      <c r="Y35" s="260">
        <f t="shared" ca="1" si="11"/>
        <v>0</v>
      </c>
      <c r="Z35" s="230">
        <f t="shared" ca="1" si="12"/>
        <v>-0.31</v>
      </c>
      <c r="AA35" s="261">
        <f t="shared" ca="1" si="5"/>
        <v>-6.2137005661934355E-58</v>
      </c>
      <c r="AB35" s="262">
        <f t="shared" ca="1" si="13"/>
        <v>-1</v>
      </c>
      <c r="AC35" s="234">
        <f t="shared" si="6"/>
        <v>184</v>
      </c>
      <c r="AD35" s="262">
        <f t="shared" ca="1" si="14"/>
        <v>-1</v>
      </c>
      <c r="AE35" s="311" t="s">
        <v>98</v>
      </c>
      <c r="AF35" s="263" t="str">
        <f>JUL!$L$53</f>
        <v/>
      </c>
      <c r="AG35" s="263" t="str">
        <f>JUL!$L$54</f>
        <v/>
      </c>
      <c r="AH35" s="263" t="str">
        <f>JUL!$L$55</f>
        <v/>
      </c>
      <c r="AI35" s="263" t="str">
        <f>JUL!$L$56</f>
        <v/>
      </c>
      <c r="AJ35" s="263" t="str">
        <f>JUL!$L$57</f>
        <v/>
      </c>
      <c r="AK35" s="263">
        <f>JUL!$L$59</f>
        <v>0</v>
      </c>
      <c r="AL35" s="312">
        <f>JUL!L$40</f>
        <v>0</v>
      </c>
      <c r="AM35" s="264" t="str">
        <f>IFERROR(JUL!$M$53,"zero")</f>
        <v/>
      </c>
      <c r="AN35" s="264" t="str">
        <f>IFERROR(JUL!$M$54,"zero")</f>
        <v/>
      </c>
      <c r="AO35" s="264" t="str">
        <f>IFERROR(JUL!$M$55,"zero")</f>
        <v/>
      </c>
      <c r="AP35" s="264" t="str">
        <f>IFERROR(JUL!$M$56,"zero")</f>
        <v/>
      </c>
      <c r="AQ35" s="264" t="str">
        <f>IFERROR(JUL!$M$57,"zero")</f>
        <v/>
      </c>
      <c r="AR35" s="264">
        <f t="shared" ref="AR35:AR40" si="23">SUM(AM35:AQ35)</f>
        <v>0</v>
      </c>
      <c r="AS35" s="239"/>
      <c r="AT35" s="239"/>
      <c r="AU35" s="239"/>
      <c r="AV35" s="239"/>
      <c r="AW35" s="239"/>
      <c r="AX35" s="265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100"/>
      <c r="BJ35" s="100"/>
      <c r="BK35" s="100"/>
      <c r="BL35" s="100"/>
    </row>
    <row r="36" spans="1:64" ht="23">
      <c r="A36" s="239"/>
      <c r="B36" s="240">
        <v>8</v>
      </c>
      <c r="C36" s="252">
        <f t="shared" si="21"/>
        <v>43311</v>
      </c>
      <c r="D36" s="253">
        <f t="shared" si="7"/>
        <v>43313</v>
      </c>
      <c r="E36" s="254" t="s">
        <v>99</v>
      </c>
      <c r="F36" s="234">
        <v>31</v>
      </c>
      <c r="G36" s="255">
        <f t="shared" ca="1" si="8"/>
        <v>-4.9709604529547484E-58</v>
      </c>
      <c r="H36" s="256">
        <f t="shared" ca="1" si="16"/>
        <v>-3.6039463283921922E-57</v>
      </c>
      <c r="I36" s="256">
        <f>AUG!H$55</f>
        <v>0</v>
      </c>
      <c r="J36" s="256">
        <f t="shared" si="17"/>
        <v>0</v>
      </c>
      <c r="K36" s="256">
        <f t="shared" si="18"/>
        <v>391070.59153071529</v>
      </c>
      <c r="L36" s="256">
        <f t="shared" si="3"/>
        <v>31</v>
      </c>
      <c r="M36" s="256">
        <f t="shared" si="9"/>
        <v>243</v>
      </c>
      <c r="N36" s="256">
        <f ca="1">IF($E$5=1,AUG!$F$12,IF($E$5=2,AUG!$G$12,IF($E$5=3,AUG!$H$12,"")))</f>
        <v>0</v>
      </c>
      <c r="O36" s="256">
        <f ca="1">IF($E$5=1,AUG!$F$21,IF($E$5=2,AUG!$G$21,IF($E$5=3,AUG!$H$21,"")))</f>
        <v>-1.2427401132386871E-58</v>
      </c>
      <c r="P36" s="256">
        <f ca="1">IF($E$5=1,AUG!$F$30,IF($E$5=2,AUG!$G$30,IF($E$5=3,AUG!$H$30,"")))</f>
        <v>-1.2427401132386871E-58</v>
      </c>
      <c r="Q36" s="256">
        <f ca="1">IF($E$5=1,AUG!$F$39,IF($E$5=2,AUG!$G$39,IF($E$5=3,AUG!$H$39,"")))</f>
        <v>-1.2427401132386871E-58</v>
      </c>
      <c r="R36" s="256">
        <f ca="1">IF($E$5=1,AUG!$F$48,IF($E$5=2,AUG!$G$48,IF($E$5=3,AUG!$H$48,"")))</f>
        <v>-1.2427401132386871E-58</v>
      </c>
      <c r="S36" s="256" t="str">
        <f>IF(AUG!$H$53=-1E-55,"",IF($E$5=1,AUG!$F$52,IF($E$5=2,AUG!$G$52,IF($E$5=3,AUG!$H$52,""))))</f>
        <v/>
      </c>
      <c r="T36" s="256">
        <f t="shared" ca="1" si="22"/>
        <v>-4.9709604529547484E-58</v>
      </c>
      <c r="U36" s="257">
        <f ca="1">IF($G36&lt;0.0011,0,VLOOKUP($C$8,AUG!$C$4:$AA$56,25)-VLOOKUP($C$8-1,AUG!$C$4:$AA$56,25))</f>
        <v>0</v>
      </c>
      <c r="V36" s="258">
        <f ca="1">IF($C$8&lt;D36-1,0,IF($C$8&gt;D37-1,0,VLOOKUP($C$8,AUG!$C$4:$AA$56,3)))</f>
        <v>0</v>
      </c>
      <c r="W36" s="259">
        <f t="shared" ca="1" si="10"/>
        <v>0</v>
      </c>
      <c r="X36" s="259">
        <f t="shared" si="4"/>
        <v>0.62</v>
      </c>
      <c r="Y36" s="260">
        <f t="shared" ca="1" si="11"/>
        <v>0</v>
      </c>
      <c r="Z36" s="230">
        <f t="shared" ca="1" si="12"/>
        <v>-0.31</v>
      </c>
      <c r="AA36" s="261">
        <f t="shared" ca="1" si="5"/>
        <v>-4.9709604529547484E-58</v>
      </c>
      <c r="AB36" s="262">
        <f t="shared" ca="1" si="13"/>
        <v>-1</v>
      </c>
      <c r="AC36" s="234">
        <f t="shared" si="6"/>
        <v>153</v>
      </c>
      <c r="AD36" s="262">
        <f t="shared" ca="1" si="14"/>
        <v>-1</v>
      </c>
      <c r="AE36" s="311" t="s">
        <v>99</v>
      </c>
      <c r="AF36" s="263" t="str">
        <f>AUG!$L$53</f>
        <v/>
      </c>
      <c r="AG36" s="263" t="str">
        <f>AUG!$L$54</f>
        <v/>
      </c>
      <c r="AH36" s="263" t="str">
        <f>AUG!$L$55</f>
        <v/>
      </c>
      <c r="AI36" s="263" t="str">
        <f>AUG!$L$56</f>
        <v/>
      </c>
      <c r="AJ36" s="263" t="str">
        <f>AUG!$L$57</f>
        <v/>
      </c>
      <c r="AK36" s="263">
        <f>AUG!$L$59</f>
        <v>0</v>
      </c>
      <c r="AL36" s="312">
        <f>AUG!L$40</f>
        <v>0</v>
      </c>
      <c r="AM36" s="264" t="str">
        <f>IFERROR(AUG!$M$53,"zero")</f>
        <v/>
      </c>
      <c r="AN36" s="264" t="str">
        <f>IFERROR(AUG!$M$54,"zero")</f>
        <v/>
      </c>
      <c r="AO36" s="264" t="str">
        <f>IFERROR(AUG!$M$55,"zero")</f>
        <v/>
      </c>
      <c r="AP36" s="264" t="str">
        <f>IFERROR(AUG!$M$56,"zero")</f>
        <v/>
      </c>
      <c r="AQ36" s="264" t="str">
        <f>IFERROR(AUG!$M$57,"zero")</f>
        <v/>
      </c>
      <c r="AR36" s="264">
        <f t="shared" si="23"/>
        <v>0</v>
      </c>
      <c r="AS36" s="239"/>
      <c r="AT36" s="239"/>
      <c r="AU36" s="239"/>
      <c r="AV36" s="239"/>
      <c r="AW36" s="239"/>
      <c r="AX36" s="265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100"/>
      <c r="BJ36" s="100"/>
      <c r="BK36" s="100"/>
      <c r="BL36" s="100"/>
    </row>
    <row r="37" spans="1:64" ht="23">
      <c r="A37" s="239"/>
      <c r="B37" s="240">
        <v>9</v>
      </c>
      <c r="C37" s="252">
        <f t="shared" si="21"/>
        <v>43339</v>
      </c>
      <c r="D37" s="253">
        <f t="shared" si="7"/>
        <v>43344</v>
      </c>
      <c r="E37" s="254" t="s">
        <v>100</v>
      </c>
      <c r="F37" s="234">
        <v>30</v>
      </c>
      <c r="G37" s="255">
        <f t="shared" ca="1" si="8"/>
        <v>-4.9709604529547484E-58</v>
      </c>
      <c r="H37" s="256">
        <f t="shared" ca="1" si="16"/>
        <v>-4.1010423736876668E-57</v>
      </c>
      <c r="I37" s="256">
        <f>SEP!H$55</f>
        <v>0</v>
      </c>
      <c r="J37" s="256">
        <f t="shared" si="17"/>
        <v>0</v>
      </c>
      <c r="K37" s="256">
        <f t="shared" si="18"/>
        <v>439350.91147277888</v>
      </c>
      <c r="L37" s="256">
        <f t="shared" si="3"/>
        <v>30</v>
      </c>
      <c r="M37" s="256">
        <f t="shared" si="9"/>
        <v>273</v>
      </c>
      <c r="N37" s="256">
        <f ca="1">IF($E$5=1,SEP!$F$12,IF($E$5=2,SEP!$G$12,IF($E$5=3,SEP!$H$12,"")))</f>
        <v>0</v>
      </c>
      <c r="O37" s="256">
        <f ca="1">IF($E$5=1,SEP!$F$21,IF($E$5=2,SEP!$G$21,IF($E$5=3,SEP!$H$21,"")))</f>
        <v>-1.2427401132386871E-58</v>
      </c>
      <c r="P37" s="256">
        <f ca="1">IF($E$5=1,SEP!$F$30,IF($E$5=2,SEP!$G$30,IF($E$5=3,SEP!$H$30,"")))</f>
        <v>-1.2427401132386871E-58</v>
      </c>
      <c r="Q37" s="256">
        <f ca="1">IF($E$5=1,SEP!$F$39,IF($E$5=2,SEP!$G$39,IF($E$5=3,SEP!$H$39,"")))</f>
        <v>-1.2427401132386871E-58</v>
      </c>
      <c r="R37" s="256">
        <f ca="1">IF($E$5=1,SEP!$F$48,IF($E$5=2,SEP!$G$48,IF($E$5=3,SEP!$H$48,"")))</f>
        <v>-1.2427401132386871E-58</v>
      </c>
      <c r="S37" s="256" t="str">
        <f>IF(SEP!$H$53=-1E-55,"",IF($E$5=1,SEP!$F$52,IF($E$5=2,SEP!$G$52,IF($E$5=3,SEP!$H$52,""))))</f>
        <v/>
      </c>
      <c r="T37" s="256">
        <f t="shared" ca="1" si="22"/>
        <v>-4.9709604529547484E-58</v>
      </c>
      <c r="U37" s="257">
        <f ca="1">IF($G37&lt;0.0011,0,VLOOKUP($C$8,SEP!$C$4:$AA$56,25)-VLOOKUP($C$8-1,SEP!$C$4:$AA$56,25))</f>
        <v>0</v>
      </c>
      <c r="V37" s="258">
        <f ca="1">IF($C$8&lt;D37-1,0,IF($C$8&gt;D38-1,0,VLOOKUP($C$8,SEP!$C$4:$AA$56,3)))</f>
        <v>0</v>
      </c>
      <c r="W37" s="259">
        <f t="shared" ca="1" si="10"/>
        <v>0</v>
      </c>
      <c r="X37" s="259">
        <f t="shared" si="4"/>
        <v>0.6</v>
      </c>
      <c r="Y37" s="260">
        <f t="shared" ca="1" si="11"/>
        <v>0</v>
      </c>
      <c r="Z37" s="230">
        <f t="shared" ca="1" si="12"/>
        <v>-0.3</v>
      </c>
      <c r="AA37" s="261">
        <f t="shared" ca="1" si="5"/>
        <v>-4.9709604529547484E-58</v>
      </c>
      <c r="AB37" s="262">
        <f t="shared" ca="1" si="13"/>
        <v>-1</v>
      </c>
      <c r="AC37" s="234">
        <f t="shared" si="6"/>
        <v>122</v>
      </c>
      <c r="AD37" s="262">
        <f t="shared" ca="1" si="14"/>
        <v>-1</v>
      </c>
      <c r="AE37" s="311" t="s">
        <v>100</v>
      </c>
      <c r="AF37" s="263" t="str">
        <f>SEP!$L$53</f>
        <v/>
      </c>
      <c r="AG37" s="263" t="str">
        <f>SEP!$L$54</f>
        <v/>
      </c>
      <c r="AH37" s="263" t="str">
        <f>SEP!$L$55</f>
        <v/>
      </c>
      <c r="AI37" s="263" t="str">
        <f>SEP!$L$56</f>
        <v/>
      </c>
      <c r="AJ37" s="263" t="str">
        <f>SEP!$L$57</f>
        <v/>
      </c>
      <c r="AK37" s="263">
        <f>SEP!$L$59</f>
        <v>0</v>
      </c>
      <c r="AL37" s="312">
        <f>SEP!L$40</f>
        <v>0</v>
      </c>
      <c r="AM37" s="264" t="str">
        <f>IFERROR(SEP!$M$53,"zero")</f>
        <v/>
      </c>
      <c r="AN37" s="264" t="str">
        <f>IFERROR(SEP!$M$54,"zero")</f>
        <v/>
      </c>
      <c r="AO37" s="264" t="str">
        <f>IFERROR(SEP!$M$55,"zero")</f>
        <v/>
      </c>
      <c r="AP37" s="264" t="str">
        <f>IFERROR(SEP!$M$56,"zero")</f>
        <v/>
      </c>
      <c r="AQ37" s="264" t="str">
        <f>IFERROR(SEP!$M$57,"zero")</f>
        <v/>
      </c>
      <c r="AR37" s="264">
        <f t="shared" si="23"/>
        <v>0</v>
      </c>
      <c r="AS37" s="239"/>
      <c r="AT37" s="239"/>
      <c r="AU37" s="239"/>
      <c r="AV37" s="239"/>
      <c r="AW37" s="239"/>
      <c r="AX37" s="265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100"/>
      <c r="BJ37" s="100"/>
      <c r="BK37" s="100"/>
      <c r="BL37" s="100"/>
    </row>
    <row r="38" spans="1:64" ht="35" customHeight="1">
      <c r="A38" s="239"/>
      <c r="B38" s="240">
        <v>10</v>
      </c>
      <c r="C38" s="252">
        <f t="shared" si="21"/>
        <v>43374</v>
      </c>
      <c r="D38" s="253">
        <f t="shared" si="7"/>
        <v>43374</v>
      </c>
      <c r="E38" s="254" t="s">
        <v>101</v>
      </c>
      <c r="F38" s="234">
        <v>31</v>
      </c>
      <c r="G38" s="255">
        <f t="shared" ca="1" si="8"/>
        <v>-6.2137005661934355E-58</v>
      </c>
      <c r="H38" s="256">
        <f t="shared" ca="1" si="16"/>
        <v>-4.7224124303070105E-57</v>
      </c>
      <c r="I38" s="256">
        <f>OCT!H$55</f>
        <v>0</v>
      </c>
      <c r="J38" s="256">
        <f t="shared" si="17"/>
        <v>0</v>
      </c>
      <c r="K38" s="256">
        <f t="shared" si="18"/>
        <v>489240.5754129113</v>
      </c>
      <c r="L38" s="256">
        <f t="shared" si="3"/>
        <v>31</v>
      </c>
      <c r="M38" s="256">
        <f t="shared" si="9"/>
        <v>304</v>
      </c>
      <c r="N38" s="256">
        <f ca="1">IF($E$5=1,OCT!$F$12,IF($E$5=2,OCT!$G$12,IF($E$5=3,OCT!$H$12,"")))</f>
        <v>-1.2427401132386871E-58</v>
      </c>
      <c r="O38" s="256">
        <f ca="1">IF($E$5=1,OCT!$F$21,IF($E$5=2,OCT!$G$21,IF($E$5=3,OCT!$H$21,"")))</f>
        <v>-1.2427401132386871E-58</v>
      </c>
      <c r="P38" s="256">
        <f ca="1">IF($E$5=1,OCT!$F$30,IF($E$5=2,OCT!$G$30,IF($E$5=3,OCT!$H$30,"")))</f>
        <v>-1.2427401132386871E-58</v>
      </c>
      <c r="Q38" s="256">
        <f ca="1">IF($E$5=1,OCT!$F$39,IF($E$5=2,OCT!$G$39,IF($E$5=3,OCT!$H$39,"")))</f>
        <v>-1.2427401132386871E-58</v>
      </c>
      <c r="R38" s="256">
        <f ca="1">IF($E$5=1,OCT!$F$48,IF($E$5=2,OCT!$G$48,IF($E$5=3,OCT!$H$48,"")))</f>
        <v>-1.2427401132386871E-58</v>
      </c>
      <c r="S38" s="256" t="str">
        <f>IF(OCT!$H$53=-1E-55,"",IF($E$5=1,OCT!$F$52,IF($E$5=2,OCT!$G$52,IF($E$5=3,OCT!$H$52,""))))</f>
        <v/>
      </c>
      <c r="T38" s="256">
        <f t="shared" ca="1" si="22"/>
        <v>-6.2137005661934355E-58</v>
      </c>
      <c r="U38" s="257">
        <f ca="1">IF($G38&lt;0.0011,0,VLOOKUP($C$8,OCT!$C$4:$AA$56,25)-VLOOKUP($C$8-1,OCT!$C$4:$AA$56,25))</f>
        <v>0</v>
      </c>
      <c r="V38" s="258">
        <f ca="1">IF($C$8&lt;D38-1,0,IF($C$8&gt;D39-1,0,VLOOKUP($C$8,OCT!$C$4:$AA$56,3)))</f>
        <v>0</v>
      </c>
      <c r="W38" s="259">
        <f t="shared" ca="1" si="10"/>
        <v>0</v>
      </c>
      <c r="X38" s="259">
        <f t="shared" si="4"/>
        <v>0.62</v>
      </c>
      <c r="Y38" s="260">
        <f t="shared" ca="1" si="11"/>
        <v>0</v>
      </c>
      <c r="Z38" s="230">
        <f t="shared" ca="1" si="12"/>
        <v>-0.31</v>
      </c>
      <c r="AA38" s="261">
        <f t="shared" ca="1" si="5"/>
        <v>-6.2137005661934355E-58</v>
      </c>
      <c r="AB38" s="262">
        <f t="shared" ca="1" si="13"/>
        <v>-1</v>
      </c>
      <c r="AC38" s="234">
        <f t="shared" si="6"/>
        <v>92</v>
      </c>
      <c r="AD38" s="262">
        <f t="shared" ca="1" si="14"/>
        <v>-1</v>
      </c>
      <c r="AE38" s="311" t="s">
        <v>101</v>
      </c>
      <c r="AF38" s="263" t="str">
        <f>OCT!$L$53</f>
        <v/>
      </c>
      <c r="AG38" s="263" t="str">
        <f>OCT!$L$54</f>
        <v/>
      </c>
      <c r="AH38" s="263" t="str">
        <f>OCT!$L$55</f>
        <v/>
      </c>
      <c r="AI38" s="263" t="str">
        <f>OCT!$L$56</f>
        <v/>
      </c>
      <c r="AJ38" s="263" t="str">
        <f>OCT!$L$57</f>
        <v/>
      </c>
      <c r="AK38" s="263">
        <f>OCT!$L$59</f>
        <v>0</v>
      </c>
      <c r="AL38" s="312">
        <f>OCT!L$40</f>
        <v>0</v>
      </c>
      <c r="AM38" s="264" t="str">
        <f>IFERROR(OCT!$M$53,"zero")</f>
        <v/>
      </c>
      <c r="AN38" s="264" t="str">
        <f>IFERROR(OCT!$M$54,"zero")</f>
        <v/>
      </c>
      <c r="AO38" s="264" t="str">
        <f>IFERROR(OCT!$M$55,"zero")</f>
        <v/>
      </c>
      <c r="AP38" s="264" t="str">
        <f>IFERROR(OCT!$M$56,"zero")</f>
        <v/>
      </c>
      <c r="AQ38" s="264" t="str">
        <f>IFERROR(OCT!$M$57,"zero")</f>
        <v/>
      </c>
      <c r="AR38" s="264">
        <f t="shared" si="23"/>
        <v>0</v>
      </c>
      <c r="AS38" s="239"/>
      <c r="AT38" s="239"/>
      <c r="AU38" s="239"/>
      <c r="AV38" s="239"/>
      <c r="AW38" s="239"/>
      <c r="AX38" s="265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100"/>
      <c r="BJ38" s="100"/>
      <c r="BK38" s="100"/>
      <c r="BL38" s="100"/>
    </row>
    <row r="39" spans="1:64" ht="25" customHeight="1">
      <c r="A39" s="239"/>
      <c r="B39" s="240">
        <v>11</v>
      </c>
      <c r="C39" s="252">
        <f t="shared" si="21"/>
        <v>43402</v>
      </c>
      <c r="D39" s="253">
        <f t="shared" si="7"/>
        <v>43405</v>
      </c>
      <c r="E39" s="254" t="s">
        <v>102</v>
      </c>
      <c r="F39" s="234">
        <v>30</v>
      </c>
      <c r="G39" s="255">
        <f t="shared" ca="1" si="8"/>
        <v>-4.9709604529547484E-58</v>
      </c>
      <c r="H39" s="256">
        <f t="shared" ca="1" si="16"/>
        <v>-5.2195084756024851E-57</v>
      </c>
      <c r="I39" s="256">
        <f>NOV!H$55</f>
        <v>0</v>
      </c>
      <c r="J39" s="256">
        <f t="shared" si="17"/>
        <v>0</v>
      </c>
      <c r="K39" s="256">
        <f t="shared" si="18"/>
        <v>537520.8953549749</v>
      </c>
      <c r="L39" s="256">
        <f t="shared" si="3"/>
        <v>30</v>
      </c>
      <c r="M39" s="256">
        <f t="shared" si="9"/>
        <v>334</v>
      </c>
      <c r="N39" s="256">
        <f ca="1">IF($E$5=1,NOV!$F$12,IF($E$5=2,NOV!$G$12,IF($E$5=3,NOV!$H$12,"")))</f>
        <v>0</v>
      </c>
      <c r="O39" s="256">
        <f ca="1">IF($E$5=1,NOV!$F$21,IF($E$5=2,NOV!$G$21,IF($E$5=3,NOV!$H$21,"")))</f>
        <v>-1.2427401132386871E-58</v>
      </c>
      <c r="P39" s="256">
        <f ca="1">IF($E$5=1,NOV!$F$30,IF($E$5=2,NOV!$G$30,IF($E$5=3,NOV!$H$30,"")))</f>
        <v>-1.2427401132386871E-58</v>
      </c>
      <c r="Q39" s="256">
        <f ca="1">IF($E$5=1,NOV!$F$39,IF($E$5=2,NOV!$G$39,IF($E$5=3,NOV!$H$39,"")))</f>
        <v>-1.2427401132386871E-58</v>
      </c>
      <c r="R39" s="256">
        <f ca="1">IF($E$5=1,NOV!$F$48,IF($E$5=2,NOV!$G$48,IF($E$5=3,NOV!$H$48,"")))</f>
        <v>-1.2427401132386871E-58</v>
      </c>
      <c r="S39" s="256" t="str">
        <f>IF(NOV!$H$53=-1E-55,"",IF($E$5=1,NOV!$F$52,IF($E$5=2,NOV!$G$52,IF($E$5=3,NOV!$H$52,""))))</f>
        <v/>
      </c>
      <c r="T39" s="256">
        <f t="shared" ca="1" si="22"/>
        <v>-4.9709604529547484E-58</v>
      </c>
      <c r="U39" s="257">
        <f ca="1">IF($G39&lt;0.0011,0,VLOOKUP($C$8,NOV!$C$4:$AA$56,25)-VLOOKUP($C$8-1,NOV!$C$4:$AA$56,25))</f>
        <v>0</v>
      </c>
      <c r="V39" s="258">
        <f ca="1">IF($C$8&lt;D39-1,0,IF($C$8&gt;D40-1,0,VLOOKUP($C$8,NOV!$C$4:$AA$56,3)))</f>
        <v>0</v>
      </c>
      <c r="W39" s="259">
        <f t="shared" ca="1" si="10"/>
        <v>0</v>
      </c>
      <c r="X39" s="259">
        <f t="shared" si="4"/>
        <v>0.6</v>
      </c>
      <c r="Y39" s="260">
        <f t="shared" ca="1" si="11"/>
        <v>0</v>
      </c>
      <c r="Z39" s="230">
        <f t="shared" ca="1" si="12"/>
        <v>-0.3</v>
      </c>
      <c r="AA39" s="261">
        <f t="shared" ca="1" si="5"/>
        <v>-4.9709604529547484E-58</v>
      </c>
      <c r="AB39" s="262">
        <f t="shared" ca="1" si="13"/>
        <v>-1</v>
      </c>
      <c r="AC39" s="234">
        <f t="shared" si="6"/>
        <v>61</v>
      </c>
      <c r="AD39" s="262">
        <f t="shared" ca="1" si="14"/>
        <v>-1</v>
      </c>
      <c r="AE39" s="311" t="s">
        <v>102</v>
      </c>
      <c r="AF39" s="263" t="str">
        <f>NOV!$L$53</f>
        <v/>
      </c>
      <c r="AG39" s="263" t="str">
        <f>NOV!$L$54</f>
        <v/>
      </c>
      <c r="AH39" s="263" t="str">
        <f>NOV!$L$55</f>
        <v/>
      </c>
      <c r="AI39" s="263" t="str">
        <f>NOV!$L$56</f>
        <v/>
      </c>
      <c r="AJ39" s="263" t="str">
        <f>NOV!$L$57</f>
        <v/>
      </c>
      <c r="AK39" s="263">
        <f>NOV!$L$59</f>
        <v>0</v>
      </c>
      <c r="AL39" s="312">
        <f>NOV!L$40</f>
        <v>0</v>
      </c>
      <c r="AM39" s="264" t="str">
        <f>IFERROR(NOV!$M$53,"zero")</f>
        <v/>
      </c>
      <c r="AN39" s="264" t="str">
        <f>IFERROR(NOV!$M$54,"zero")</f>
        <v/>
      </c>
      <c r="AO39" s="264" t="str">
        <f>IFERROR(NOV!$M$55,"zero")</f>
        <v/>
      </c>
      <c r="AP39" s="264" t="str">
        <f>IFERROR(NOV!$M$56,"zero")</f>
        <v/>
      </c>
      <c r="AQ39" s="264" t="str">
        <f>IFERROR(NOV!$M$57,"zero")</f>
        <v/>
      </c>
      <c r="AR39" s="264">
        <f t="shared" si="23"/>
        <v>0</v>
      </c>
      <c r="AS39" s="239"/>
      <c r="AT39" s="239"/>
      <c r="AU39" s="239"/>
      <c r="AV39" s="239"/>
      <c r="AW39" s="239"/>
      <c r="AX39" s="265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100"/>
      <c r="BJ39" s="100"/>
      <c r="BK39" s="100"/>
      <c r="BL39" s="100"/>
    </row>
    <row r="40" spans="1:64" ht="25" customHeight="1">
      <c r="A40" s="239"/>
      <c r="B40" s="240">
        <v>12</v>
      </c>
      <c r="C40" s="252">
        <f t="shared" si="21"/>
        <v>43430</v>
      </c>
      <c r="D40" s="253">
        <f t="shared" si="7"/>
        <v>43435</v>
      </c>
      <c r="E40" s="254" t="s">
        <v>103</v>
      </c>
      <c r="F40" s="234">
        <v>31</v>
      </c>
      <c r="G40" s="255">
        <f t="shared" ca="1" si="8"/>
        <v>-6.2137005661934355E-58</v>
      </c>
      <c r="H40" s="256">
        <f ca="1">H39+G40</f>
        <v>-5.8408785322218288E-57</v>
      </c>
      <c r="I40" s="256">
        <f>DEC!H$55</f>
        <v>0</v>
      </c>
      <c r="J40" s="256">
        <f t="shared" si="17"/>
        <v>0</v>
      </c>
      <c r="K40" s="256">
        <f t="shared" si="18"/>
        <v>587410.55929510726</v>
      </c>
      <c r="L40" s="256">
        <f t="shared" si="3"/>
        <v>31</v>
      </c>
      <c r="M40" s="256">
        <f t="shared" si="9"/>
        <v>365</v>
      </c>
      <c r="N40" s="256">
        <f ca="1">IF($E$5=1,DEC!$F$12,IF($E$5=2,DEC!$G$12,IF($E$5=3,DEC!$H$12,"")))</f>
        <v>0</v>
      </c>
      <c r="O40" s="256">
        <f ca="1">IF($E$5=1,DEC!$F$21,IF($E$5=2,DEC!$G$21,IF($E$5=3,DEC!$H$21,"")))</f>
        <v>-1.2427401132386871E-58</v>
      </c>
      <c r="P40" s="256">
        <f ca="1">IF($E$5=1,DEC!$F$30,IF($E$5=2,DEC!$G$30,IF($E$5=3,DEC!$H$30,"")))</f>
        <v>-1.2427401132386871E-58</v>
      </c>
      <c r="Q40" s="256">
        <f ca="1">IF($E$5=1,DEC!$F$39,IF($E$5=2,DEC!$G$39,IF($E$5=3,DEC!$H$39,"")))</f>
        <v>-1.2427401132386871E-58</v>
      </c>
      <c r="R40" s="256">
        <f ca="1">IF($E$5=1,DEC!$F$48,IF($E$5=2,DEC!$G$48,IF($E$5=3,DEC!$H$48,"")))</f>
        <v>-1.2427401132386871E-58</v>
      </c>
      <c r="S40" s="256">
        <f ca="1">IF(DEC!$H$53=-1E-55,"",IF($E$5=1,DEC!$F$52,IF($E$5=2,DEC!$G$52,IF($E$5=3,DEC!$H$52,""))))</f>
        <v>-1.2427401132386871E-58</v>
      </c>
      <c r="T40" s="256">
        <f t="shared" ca="1" si="22"/>
        <v>-6.2137005661934355E-58</v>
      </c>
      <c r="U40" s="257">
        <f ca="1">IF($G40&lt;0.0011,0,VLOOKUP($C$8,DEC!$C$4:$AA$56,25)-VLOOKUP($C$8-1,DEC!$C$4:$AA$56,25))</f>
        <v>0</v>
      </c>
      <c r="V40" s="258">
        <f ca="1">IF($C$8&lt;D40-1,0,IF($C$8&gt;D41-1,0,VLOOKUP($C$8,DEC!$C$4:$AA$56,3)))</f>
        <v>0</v>
      </c>
      <c r="W40" s="259">
        <f t="shared" ca="1" si="10"/>
        <v>0</v>
      </c>
      <c r="X40" s="259">
        <f t="shared" si="4"/>
        <v>0.62</v>
      </c>
      <c r="Y40" s="260">
        <f t="shared" ca="1" si="11"/>
        <v>0</v>
      </c>
      <c r="Z40" s="230">
        <f t="shared" ca="1" si="12"/>
        <v>-0.31</v>
      </c>
      <c r="AA40" s="261">
        <f t="shared" ca="1" si="5"/>
        <v>-6.2137005661934355E-58</v>
      </c>
      <c r="AB40" s="262">
        <f t="shared" ca="1" si="13"/>
        <v>-1</v>
      </c>
      <c r="AC40" s="234">
        <f>F40</f>
        <v>31</v>
      </c>
      <c r="AD40" s="262">
        <f t="shared" ca="1" si="14"/>
        <v>-1</v>
      </c>
      <c r="AE40" s="311" t="s">
        <v>103</v>
      </c>
      <c r="AF40" s="263" t="str">
        <f>DEC!$L$53</f>
        <v/>
      </c>
      <c r="AG40" s="263" t="str">
        <f>DEC!$L$54</f>
        <v/>
      </c>
      <c r="AH40" s="263" t="str">
        <f>DEC!$L$55</f>
        <v/>
      </c>
      <c r="AI40" s="263" t="str">
        <f>DEC!$L$56</f>
        <v/>
      </c>
      <c r="AJ40" s="263" t="str">
        <f>DEC!$L$57</f>
        <v/>
      </c>
      <c r="AK40" s="263">
        <f>DEC!$L$59</f>
        <v>0</v>
      </c>
      <c r="AL40" s="312">
        <f>DEC!L$40</f>
        <v>0</v>
      </c>
      <c r="AM40" s="264" t="str">
        <f>IFERROR(DEC!$M$53,"zero")</f>
        <v/>
      </c>
      <c r="AN40" s="264" t="str">
        <f>IFERROR(DEC!$M$54,"zero")</f>
        <v/>
      </c>
      <c r="AO40" s="264" t="str">
        <f>IFERROR(DEC!$M$55,"zero")</f>
        <v/>
      </c>
      <c r="AP40" s="264" t="str">
        <f>IFERROR(DEC!$M$56,"zero")</f>
        <v/>
      </c>
      <c r="AQ40" s="264" t="str">
        <f>IFERROR(DEC!$M$57,"zero")</f>
        <v/>
      </c>
      <c r="AR40" s="264">
        <f t="shared" si="23"/>
        <v>0</v>
      </c>
      <c r="AS40" s="239"/>
      <c r="AT40" s="239"/>
      <c r="AU40" s="239"/>
      <c r="AV40" s="239"/>
      <c r="AW40" s="239"/>
      <c r="AX40" s="265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100"/>
      <c r="BJ40" s="100"/>
      <c r="BK40" s="100"/>
      <c r="BL40" s="100"/>
    </row>
    <row r="41" spans="1:64" ht="25" customHeight="1">
      <c r="A41" s="239"/>
      <c r="B41" s="240">
        <v>13</v>
      </c>
      <c r="C41" s="252">
        <f t="shared" si="21"/>
        <v>43465</v>
      </c>
      <c r="D41" s="253">
        <f t="shared" si="7"/>
        <v>43466</v>
      </c>
      <c r="E41" s="230"/>
      <c r="F41" s="234">
        <f>SUM(F29:F40)</f>
        <v>365</v>
      </c>
      <c r="G41" s="269" t="s">
        <v>39</v>
      </c>
      <c r="H41" s="270">
        <f ca="1">'MY STATS'!$H$40</f>
        <v>-5.8408785322218288E-57</v>
      </c>
      <c r="I41" s="230"/>
      <c r="J41" s="230"/>
      <c r="K41" s="259"/>
      <c r="L41" s="259"/>
      <c r="M41" s="230"/>
      <c r="N41" s="230"/>
      <c r="O41" s="230"/>
      <c r="P41" s="230"/>
      <c r="Q41" s="230"/>
      <c r="R41" s="230"/>
      <c r="S41" s="234"/>
      <c r="T41" s="234"/>
      <c r="U41" s="271"/>
      <c r="V41" s="271"/>
      <c r="W41" s="234"/>
      <c r="X41" s="234"/>
      <c r="Y41" s="230"/>
      <c r="Z41" s="230"/>
      <c r="AA41" s="230"/>
      <c r="AB41" s="230"/>
      <c r="AC41" s="239"/>
      <c r="AD41" s="234" t="s">
        <v>115</v>
      </c>
      <c r="AE41" s="234" t="s">
        <v>122</v>
      </c>
      <c r="AF41" s="252">
        <f>RANK(AF43,$AF$43:$AJ$43)+COUNTIF(AE$43:$AE43,AF43)</f>
        <v>1</v>
      </c>
      <c r="AG41" s="252">
        <f>RANK(AG43,$AF$43:$AJ$43)+COUNTIF($AE$43:AF43,AG43)</f>
        <v>2</v>
      </c>
      <c r="AH41" s="252">
        <f>RANK(AH43,$AF$43:$AJ$43)+COUNTIF($AE$43:AG43,AH43)</f>
        <v>3</v>
      </c>
      <c r="AI41" s="252">
        <f>RANK(AI43,$AF$43:$AJ$43)+COUNTIF($AE$43:AH43,AI43)</f>
        <v>4</v>
      </c>
      <c r="AJ41" s="252">
        <f>RANK(AJ43,$AF$43:$AJ$43)+COUNTIF($AE$43:AI43,AJ43)</f>
        <v>5</v>
      </c>
      <c r="AK41" s="239"/>
      <c r="AL41" s="171" t="s">
        <v>141</v>
      </c>
      <c r="AM41" s="252">
        <f>RANK(AM43,$AM$43:$AQ$43)+COUNTIF(AR$43:$AR43,AM43)</f>
        <v>1</v>
      </c>
      <c r="AN41" s="252">
        <f>RANK(AN43,$AM$43:$AQ$43)+COUNTIF($AL$43:AM43,AN43)</f>
        <v>2</v>
      </c>
      <c r="AO41" s="252">
        <f>RANK(AO43,$AM$43:$AQ$43)+COUNTIF($AL$43:AN43,AO43)</f>
        <v>3</v>
      </c>
      <c r="AP41" s="252">
        <f>RANK(AP43,$AM$43:$AQ$43)+COUNTIF($AL$43:AO43,AP43)</f>
        <v>4</v>
      </c>
      <c r="AQ41" s="252">
        <f>RANK(AQ43,$AM$43:$AQ$43)+COUNTIF($AL$43:AP43,AQ43)</f>
        <v>5</v>
      </c>
      <c r="AR41" s="239"/>
      <c r="AS41" s="252">
        <f>RANK(AS43,$AS$43:$AW$43)+COUNTIF($AR$43:AR43,AS43)</f>
        <v>1</v>
      </c>
      <c r="AT41" s="252">
        <f>RANK(AT43,$AS$43:$AW$43)+COUNTIF($AR$43:AS43,AT43)</f>
        <v>2</v>
      </c>
      <c r="AU41" s="252">
        <f>RANK(AU43,$AS$43:$AW$43)+COUNTIF($AR$43:AT43,AU43)</f>
        <v>3</v>
      </c>
      <c r="AV41" s="252">
        <f>RANK(AV43,$AS$43:$AW$43)+COUNTIF($AR$43:AU43,AV43)</f>
        <v>4</v>
      </c>
      <c r="AW41" s="252">
        <f>RANK(AW43,$AS$43:$AW$43)+COUNTIF($AR$43:AV43,AW43)</f>
        <v>5</v>
      </c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100"/>
      <c r="BJ41" s="100"/>
      <c r="BK41" s="100"/>
      <c r="BL41" s="100"/>
    </row>
    <row r="42" spans="1:64" ht="18">
      <c r="A42" s="239"/>
      <c r="B42" s="230"/>
      <c r="C42" s="230"/>
      <c r="D42" s="234"/>
      <c r="E42" s="230"/>
      <c r="F42" s="234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4"/>
      <c r="T42" s="234"/>
      <c r="U42" s="272"/>
      <c r="V42" s="273" t="str">
        <f ca="1">LEFT(TEXT(VLOOKUP("*day",V29:V40,1,FALSE),"ddd"),3)</f>
        <v>Wed</v>
      </c>
      <c r="W42" s="234"/>
      <c r="X42" s="234"/>
      <c r="Y42" s="230"/>
      <c r="Z42" s="230"/>
      <c r="AA42" s="274"/>
      <c r="AB42" s="230"/>
      <c r="AC42" s="230"/>
      <c r="AD42" s="230"/>
      <c r="AE42" s="230"/>
      <c r="AF42" s="235" t="str">
        <f>IF(AF44="","",HLOOKUP(AF27,$AF41:$AJ44,4,FALSE))</f>
        <v/>
      </c>
      <c r="AG42" s="235" t="str">
        <f t="shared" ref="AG42:AJ42" si="24">IF(AG44="","",HLOOKUP(AG27,$AF41:$AJ44,4,FALSE))</f>
        <v/>
      </c>
      <c r="AH42" s="235" t="str">
        <f t="shared" si="24"/>
        <v/>
      </c>
      <c r="AI42" s="235" t="str">
        <f t="shared" si="24"/>
        <v/>
      </c>
      <c r="AJ42" s="235" t="str">
        <f t="shared" si="24"/>
        <v/>
      </c>
      <c r="AK42" s="239"/>
      <c r="AL42" s="266">
        <f>SUM(AL29:AL40)</f>
        <v>0</v>
      </c>
      <c r="AM42" s="235" t="str">
        <f>IF(AM44="","",HLOOKUP(AM27,$AS41:$AW44,4,FALSE))</f>
        <v/>
      </c>
      <c r="AN42" s="235" t="str">
        <f t="shared" ref="AN42:AP42" si="25">IF(AN44="","",HLOOKUP(AN27,$AS41:$AW44,4,FALSE))</f>
        <v/>
      </c>
      <c r="AO42" s="235" t="str">
        <f t="shared" si="25"/>
        <v/>
      </c>
      <c r="AP42" s="235" t="str">
        <f t="shared" si="25"/>
        <v/>
      </c>
      <c r="AQ42" s="235" t="str">
        <f>IF(AQ44="","",HLOOKUP(AQ27,$AS41:$AW44,4,FALSE))</f>
        <v/>
      </c>
      <c r="AR42" s="239"/>
      <c r="AS42" s="235" t="str">
        <f>IF(AS44="","",HLOOKUP(AS27,$AS41:$AW44,4,FALSE))</f>
        <v/>
      </c>
      <c r="AT42" s="235" t="str">
        <f t="shared" ref="AT42:AW42" si="26">IF(AT44="","",HLOOKUP(AT27,$AS41:$AW44,4,FALSE))</f>
        <v/>
      </c>
      <c r="AU42" s="235" t="str">
        <f t="shared" si="26"/>
        <v/>
      </c>
      <c r="AV42" s="235" t="str">
        <f t="shared" si="26"/>
        <v/>
      </c>
      <c r="AW42" s="235" t="str">
        <f t="shared" si="26"/>
        <v/>
      </c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100"/>
      <c r="BJ42" s="100"/>
      <c r="BK42" s="100"/>
      <c r="BL42" s="100"/>
    </row>
    <row r="43" spans="1:64">
      <c r="A43" s="239"/>
      <c r="B43" s="230"/>
      <c r="C43" s="230"/>
      <c r="D43" s="250" t="s">
        <v>18</v>
      </c>
      <c r="E43" s="230"/>
      <c r="F43" s="234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4" t="str">
        <f ca="1">IF($V42="Mon","","mon")</f>
        <v>mon</v>
      </c>
      <c r="T43" s="234" t="str">
        <f ca="1">IF($V42="Tue","","tue")</f>
        <v>tue</v>
      </c>
      <c r="U43" s="234" t="str">
        <f ca="1">IF($V42="Wed","","wed")</f>
        <v/>
      </c>
      <c r="V43" s="234" t="str">
        <f ca="1">IF($V42="thu","","thu")</f>
        <v>thu</v>
      </c>
      <c r="W43" s="234" t="str">
        <f ca="1">IF($V42="Fri","","fri")</f>
        <v>fri</v>
      </c>
      <c r="X43" s="234" t="str">
        <f ca="1">IF($V42="Sat","","sat")</f>
        <v>sat</v>
      </c>
      <c r="Y43" s="234" t="str">
        <f ca="1">IF($V42="Sun","","sun")</f>
        <v>sun</v>
      </c>
      <c r="Z43" s="230"/>
      <c r="AA43" s="230"/>
      <c r="AB43" s="230"/>
      <c r="AC43" s="230"/>
      <c r="AD43" s="234"/>
      <c r="AE43" s="234" t="s">
        <v>122</v>
      </c>
      <c r="AF43" s="263">
        <f>SUM(AF29:AF40)</f>
        <v>0</v>
      </c>
      <c r="AG43" s="263">
        <f t="shared" ref="AG43:AK43" si="27">SUM(AG29:AG40)</f>
        <v>0</v>
      </c>
      <c r="AH43" s="263">
        <f>SUM(AH29:AH40)</f>
        <v>0</v>
      </c>
      <c r="AI43" s="263">
        <f t="shared" si="27"/>
        <v>0</v>
      </c>
      <c r="AJ43" s="263">
        <f t="shared" si="27"/>
        <v>0</v>
      </c>
      <c r="AK43" s="263">
        <f t="shared" si="27"/>
        <v>0</v>
      </c>
      <c r="AL43" s="239"/>
      <c r="AM43" s="275">
        <f>SUM(AM29:AM40)</f>
        <v>0</v>
      </c>
      <c r="AN43" s="275">
        <f t="shared" ref="AN43:AQ43" si="28">SUM(AN29:AN40)</f>
        <v>0</v>
      </c>
      <c r="AO43" s="275">
        <f t="shared" si="28"/>
        <v>0</v>
      </c>
      <c r="AP43" s="275">
        <f t="shared" si="28"/>
        <v>0</v>
      </c>
      <c r="AQ43" s="275">
        <f t="shared" si="28"/>
        <v>0</v>
      </c>
      <c r="AR43" s="315" t="s">
        <v>124</v>
      </c>
      <c r="AS43" s="265">
        <f>IFERROR(AM43/AF43/24+0.000001,0)</f>
        <v>0</v>
      </c>
      <c r="AT43" s="265">
        <f>IFERROR(AN43/AG43/24+0.0000001,0)</f>
        <v>0</v>
      </c>
      <c r="AU43" s="265">
        <f>IFERROR(AO43/AH43/24+0.00000001,0)</f>
        <v>0</v>
      </c>
      <c r="AV43" s="265">
        <f>IFERROR(AP43/AI43/24+0.000000001,0)</f>
        <v>0</v>
      </c>
      <c r="AW43" s="265">
        <f>IFERROR(AQ43/AJ43/24+0.0000000001,0)</f>
        <v>0</v>
      </c>
      <c r="AX43" s="239" t="s">
        <v>123</v>
      </c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100"/>
      <c r="BJ43" s="100"/>
      <c r="BK43" s="100"/>
      <c r="BL43" s="100"/>
    </row>
    <row r="44" spans="1:64" ht="23">
      <c r="A44" s="239"/>
      <c r="B44" s="230"/>
      <c r="C44" s="230"/>
      <c r="D44" s="276">
        <f ca="1">IF(TODAY()&lt;D41,TODAY(),D41-1)</f>
        <v>43138</v>
      </c>
      <c r="E44" s="230"/>
      <c r="F44" s="234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316" t="str">
        <f ca="1">IF($V42&lt;&gt;"Mon","","mon")</f>
        <v/>
      </c>
      <c r="T44" s="316" t="str">
        <f ca="1">IF($V42&lt;&gt;"Tue","","tue")</f>
        <v/>
      </c>
      <c r="U44" s="316" t="str">
        <f ca="1">IF($V42&lt;&gt;"Wed","","wed")</f>
        <v>wed</v>
      </c>
      <c r="V44" s="316" t="str">
        <f ca="1">IF($V42&lt;&gt;"thu","","thu")</f>
        <v/>
      </c>
      <c r="W44" s="316" t="str">
        <f ca="1">IF($V42&lt;&gt;"Fri","","fri")</f>
        <v/>
      </c>
      <c r="X44" s="316" t="str">
        <f ca="1">IF($V42&lt;&gt;"Sat","","sat")</f>
        <v/>
      </c>
      <c r="Y44" s="316" t="str">
        <f ca="1">IF($V42&lt;&gt;"Sun","","sun")</f>
        <v/>
      </c>
      <c r="Z44" s="230"/>
      <c r="AA44" s="230"/>
      <c r="AB44" s="230"/>
      <c r="AC44" s="230"/>
      <c r="AD44" s="230"/>
      <c r="AE44" s="230"/>
      <c r="AF44" s="317" t="str">
        <f>IF(LEFT(AF28,1)="z","",AF28)</f>
        <v/>
      </c>
      <c r="AG44" s="317" t="str">
        <f>IF(LEFT(AG28,1)="z","",AG28)</f>
        <v/>
      </c>
      <c r="AH44" s="317" t="str">
        <f>IF(LEFT(AH28,1)="z","",AH28)</f>
        <v/>
      </c>
      <c r="AI44" s="317" t="str">
        <f>IF(LEFT(AI28,1)="z","",AI28)</f>
        <v/>
      </c>
      <c r="AJ44" s="317" t="str">
        <f>IF(LEFT(AJ28,1)="z","",AJ28)</f>
        <v/>
      </c>
      <c r="AK44" s="239"/>
      <c r="AL44" s="239"/>
      <c r="AM44" s="317" t="str">
        <f>IF(LEFT(AM28,1)="z","",AM28)</f>
        <v/>
      </c>
      <c r="AN44" s="317" t="str">
        <f t="shared" ref="AN44:AQ44" si="29">IF(LEFT(AN28,1)="z","",AN28)</f>
        <v/>
      </c>
      <c r="AO44" s="317" t="str">
        <f t="shared" si="29"/>
        <v/>
      </c>
      <c r="AP44" s="317" t="str">
        <f t="shared" si="29"/>
        <v/>
      </c>
      <c r="AQ44" s="317" t="str">
        <f t="shared" si="29"/>
        <v/>
      </c>
      <c r="AR44" s="239"/>
      <c r="AS44" s="317" t="str">
        <f>IF(LEFT(AS28,1)="z","",AS28)</f>
        <v/>
      </c>
      <c r="AT44" s="317" t="str">
        <f t="shared" ref="AT44:AW44" si="30">IF(LEFT(AT28,1)="z","",AT28)</f>
        <v/>
      </c>
      <c r="AU44" s="317" t="str">
        <f t="shared" si="30"/>
        <v/>
      </c>
      <c r="AV44" s="317" t="str">
        <f t="shared" si="30"/>
        <v/>
      </c>
      <c r="AW44" s="317" t="str">
        <f t="shared" si="30"/>
        <v/>
      </c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100"/>
      <c r="BJ44" s="100"/>
      <c r="BK44" s="100"/>
      <c r="BL44" s="100"/>
    </row>
    <row r="45" spans="1:64">
      <c r="A45" s="239"/>
      <c r="B45" s="230"/>
      <c r="C45" s="230"/>
      <c r="D45" s="225">
        <f ca="1">'MY STATS'!$D$44</f>
        <v>43138</v>
      </c>
      <c r="E45" s="230"/>
      <c r="F45" s="234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4"/>
      <c r="T45" s="234"/>
      <c r="U45" s="234"/>
      <c r="V45" s="234"/>
      <c r="W45" s="234"/>
      <c r="X45" s="234"/>
      <c r="Y45" s="230"/>
      <c r="Z45" s="230"/>
      <c r="AA45" s="230"/>
      <c r="AB45" s="230"/>
      <c r="AC45" s="230"/>
      <c r="AD45" s="230"/>
      <c r="AE45" s="230"/>
      <c r="AF45" s="230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100"/>
      <c r="BJ45" s="100"/>
      <c r="BK45" s="100"/>
      <c r="BL45" s="100"/>
    </row>
    <row r="46" spans="1:64">
      <c r="A46" s="239"/>
      <c r="B46" s="230"/>
      <c r="C46" s="230"/>
      <c r="D46" s="277">
        <f>DATE(B2,1,1)</f>
        <v>43101</v>
      </c>
      <c r="E46" s="230"/>
      <c r="F46" s="234"/>
      <c r="G46" s="226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4"/>
      <c r="T46" s="234"/>
      <c r="U46" s="234"/>
      <c r="V46" s="234"/>
      <c r="W46" s="234"/>
      <c r="X46" s="234"/>
      <c r="Y46" s="230"/>
      <c r="Z46" s="230"/>
      <c r="AA46" s="230"/>
      <c r="AB46" s="230"/>
      <c r="AC46" s="230"/>
      <c r="AD46" s="230"/>
      <c r="AE46" s="100"/>
      <c r="AF46" s="226"/>
      <c r="AG46" s="100"/>
      <c r="AH46" s="100"/>
      <c r="AI46" s="100"/>
      <c r="AJ46" s="100"/>
      <c r="AK46" s="100"/>
      <c r="AL46" s="100"/>
      <c r="AM46" s="100"/>
      <c r="AN46" s="226"/>
      <c r="AO46" s="100"/>
      <c r="AP46" s="100"/>
      <c r="AQ46" s="100"/>
      <c r="AR46" s="100"/>
      <c r="AS46" s="278"/>
      <c r="AT46" s="278"/>
      <c r="AU46" s="278"/>
      <c r="AV46" s="278"/>
      <c r="AW46" s="278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</row>
    <row r="47" spans="1:64">
      <c r="A47" s="239"/>
      <c r="B47" s="230"/>
      <c r="C47" s="230"/>
      <c r="D47" s="260">
        <f>D46</f>
        <v>43101</v>
      </c>
      <c r="E47" s="230"/>
      <c r="F47" s="234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4"/>
      <c r="T47" s="234"/>
      <c r="U47" s="234"/>
      <c r="V47" s="234"/>
      <c r="W47" s="234"/>
      <c r="X47" s="234"/>
      <c r="Y47" s="230"/>
      <c r="Z47" s="230"/>
      <c r="AA47" s="230"/>
      <c r="AB47" s="230"/>
      <c r="AC47" s="230"/>
      <c r="AD47" s="230"/>
      <c r="AE47" s="226"/>
      <c r="AF47" s="226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</row>
    <row r="48" spans="1:64">
      <c r="A48" s="239"/>
      <c r="B48" s="230"/>
      <c r="C48" s="230">
        <f>C41-C40</f>
        <v>35</v>
      </c>
      <c r="D48" s="234"/>
      <c r="E48" s="230"/>
      <c r="F48" s="234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4"/>
      <c r="T48" s="234"/>
      <c r="U48" s="234"/>
      <c r="V48" s="234"/>
      <c r="W48" s="234"/>
      <c r="X48" s="234"/>
      <c r="Y48" s="230"/>
      <c r="Z48" s="230"/>
      <c r="AA48" s="230"/>
      <c r="AB48" s="230"/>
      <c r="AC48" s="230"/>
      <c r="AD48" s="230"/>
      <c r="AE48" s="226"/>
      <c r="AF48" s="226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</row>
    <row r="49" spans="1:64">
      <c r="A49" s="239"/>
      <c r="B49" s="230"/>
      <c r="C49" s="230"/>
      <c r="D49" s="234" t="s">
        <v>25</v>
      </c>
      <c r="E49" s="230"/>
      <c r="F49" s="234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4"/>
      <c r="T49" s="234"/>
      <c r="U49" s="234"/>
      <c r="V49" s="234"/>
      <c r="W49" s="234"/>
      <c r="X49" s="234"/>
      <c r="Y49" s="230"/>
      <c r="Z49" s="230"/>
      <c r="AA49" s="230"/>
      <c r="AB49" s="230"/>
      <c r="AC49" s="230"/>
      <c r="AD49" s="230"/>
      <c r="AE49" s="226"/>
      <c r="AF49" s="226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</row>
    <row r="50" spans="1:64">
      <c r="A50" s="239"/>
      <c r="B50" s="230"/>
      <c r="C50" s="230"/>
      <c r="D50" s="246">
        <f>D47+IF((WEEKDAY(D47)-2)&lt;0,-6,(WEEKDAY(D47)-2)*-1)</f>
        <v>43101</v>
      </c>
      <c r="E50" s="230"/>
      <c r="F50" s="234" t="s">
        <v>145</v>
      </c>
      <c r="G50" s="235" t="s">
        <v>105</v>
      </c>
      <c r="H50" s="234" t="s">
        <v>106</v>
      </c>
      <c r="I50" s="234" t="s">
        <v>146</v>
      </c>
      <c r="J50" s="230"/>
      <c r="K50" s="230"/>
      <c r="L50" s="230"/>
      <c r="M50" s="230"/>
      <c r="N50" s="230"/>
      <c r="O50" s="230"/>
      <c r="P50" s="230"/>
      <c r="Q50" s="230"/>
      <c r="R50" s="230"/>
      <c r="S50" s="234"/>
      <c r="T50" s="234"/>
      <c r="U50" s="234"/>
      <c r="V50" s="234"/>
      <c r="W50" s="234"/>
      <c r="X50" s="234"/>
      <c r="Y50" s="230"/>
      <c r="Z50" s="230"/>
      <c r="AA50" s="230"/>
      <c r="AB50" s="230"/>
      <c r="AC50" s="230"/>
      <c r="AD50" s="230"/>
      <c r="AE50" s="226"/>
      <c r="AF50" s="226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</row>
    <row r="51" spans="1:64">
      <c r="A51" s="239"/>
      <c r="B51" s="230"/>
      <c r="C51" s="230"/>
      <c r="D51" s="230"/>
      <c r="E51" s="230"/>
      <c r="F51" s="234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4"/>
      <c r="S51" s="234"/>
      <c r="T51" s="234"/>
      <c r="U51" s="234"/>
      <c r="V51" s="234"/>
      <c r="W51" s="230"/>
      <c r="X51" s="230"/>
      <c r="Y51" s="230"/>
      <c r="Z51" s="230"/>
      <c r="AA51" s="230"/>
      <c r="AB51" s="230"/>
      <c r="AC51" s="230"/>
      <c r="AD51" s="230"/>
      <c r="AE51" s="226"/>
      <c r="AF51" s="226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</row>
    <row r="52" spans="1:64">
      <c r="A52" s="100"/>
      <c r="B52" s="318"/>
      <c r="C52" s="226"/>
      <c r="D52" s="226"/>
      <c r="E52" s="226"/>
      <c r="F52" s="226"/>
      <c r="G52" s="238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38"/>
      <c r="T52" s="238"/>
      <c r="U52" s="238"/>
      <c r="V52" s="238"/>
      <c r="W52" s="238"/>
      <c r="X52" s="238"/>
      <c r="Y52" s="226"/>
      <c r="Z52" s="226"/>
      <c r="AA52" s="226"/>
      <c r="AB52" s="226"/>
      <c r="AC52" s="226"/>
      <c r="AD52" s="226"/>
      <c r="AE52" s="226"/>
      <c r="AF52" s="226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318"/>
      <c r="BI52" s="100"/>
      <c r="BJ52" s="100"/>
      <c r="BK52" s="100"/>
      <c r="BL52" s="100"/>
    </row>
    <row r="53" spans="1:64">
      <c r="A53" s="97"/>
      <c r="B53" s="284"/>
      <c r="C53" s="284"/>
      <c r="D53" s="284"/>
      <c r="E53" s="284"/>
      <c r="F53" s="285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5"/>
      <c r="S53" s="285"/>
      <c r="T53" s="285"/>
      <c r="U53" s="285"/>
      <c r="V53" s="285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100"/>
      <c r="BJ53" s="100"/>
      <c r="BK53" s="100"/>
      <c r="BL53" s="100"/>
    </row>
    <row r="54" spans="1:64">
      <c r="B54" s="226"/>
      <c r="C54" s="226"/>
      <c r="D54" s="226"/>
      <c r="E54" s="226"/>
      <c r="F54" s="238"/>
      <c r="G54" s="120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38"/>
      <c r="S54" s="238"/>
      <c r="T54" s="238"/>
      <c r="U54" s="238"/>
      <c r="V54" s="238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</row>
    <row r="55" spans="1:64">
      <c r="B55" s="100"/>
      <c r="C55" s="100"/>
      <c r="D55" s="100"/>
      <c r="E55" s="100"/>
      <c r="F55" s="100"/>
      <c r="G55" s="12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20"/>
      <c r="T55" s="120"/>
      <c r="U55" s="120"/>
      <c r="V55" s="120"/>
      <c r="W55" s="120"/>
      <c r="X55" s="12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</row>
    <row r="56" spans="1:64">
      <c r="B56" s="100"/>
      <c r="C56" s="100"/>
      <c r="D56" s="100"/>
      <c r="E56" s="100"/>
      <c r="F56" s="100"/>
      <c r="G56" s="12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20"/>
      <c r="T56" s="120"/>
      <c r="U56" s="120"/>
      <c r="V56" s="120"/>
      <c r="W56" s="120"/>
      <c r="X56" s="12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</row>
    <row r="57" spans="1:64">
      <c r="B57" s="100"/>
      <c r="C57" s="100"/>
      <c r="D57" s="100"/>
      <c r="E57" s="100"/>
      <c r="F57" s="100"/>
      <c r="G57" s="12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20"/>
      <c r="T57" s="120"/>
      <c r="U57" s="120"/>
      <c r="V57" s="120"/>
      <c r="W57" s="120"/>
      <c r="X57" s="12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</row>
    <row r="58" spans="1:64">
      <c r="B58" s="100"/>
      <c r="C58" s="100"/>
      <c r="D58" s="100"/>
      <c r="E58" s="100"/>
      <c r="F58" s="100"/>
      <c r="G58" s="12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20"/>
      <c r="T58" s="120"/>
      <c r="U58" s="120"/>
      <c r="V58" s="120"/>
      <c r="W58" s="120"/>
      <c r="X58" s="12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</row>
    <row r="59" spans="1:64">
      <c r="B59" s="100"/>
      <c r="C59" s="100"/>
      <c r="D59" s="100"/>
      <c r="E59" s="100"/>
      <c r="F59" s="100"/>
      <c r="G59" s="12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20"/>
      <c r="T59" s="120"/>
      <c r="U59" s="120"/>
      <c r="V59" s="120"/>
      <c r="W59" s="120"/>
      <c r="X59" s="12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</row>
    <row r="60" spans="1:64">
      <c r="B60" s="100"/>
      <c r="C60" s="100"/>
      <c r="D60" s="100"/>
      <c r="E60" s="100"/>
      <c r="F60" s="100"/>
      <c r="G60" s="12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20"/>
      <c r="T60" s="120"/>
      <c r="U60" s="120"/>
      <c r="V60" s="120"/>
      <c r="W60" s="120"/>
      <c r="X60" s="12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</row>
    <row r="61" spans="1:64">
      <c r="B61" s="100"/>
      <c r="C61" s="100"/>
      <c r="D61" s="100"/>
      <c r="E61" s="100"/>
      <c r="F61" s="100"/>
      <c r="G61" s="12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20"/>
      <c r="T61" s="120"/>
      <c r="U61" s="120"/>
      <c r="V61" s="120"/>
      <c r="W61" s="120"/>
      <c r="X61" s="12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</row>
    <row r="62" spans="1:64">
      <c r="B62" s="100"/>
      <c r="C62" s="100"/>
      <c r="D62" s="100"/>
      <c r="E62" s="100"/>
      <c r="F62" s="100"/>
      <c r="G62" s="12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20"/>
      <c r="T62" s="120"/>
      <c r="U62" s="120"/>
      <c r="V62" s="120"/>
      <c r="W62" s="120"/>
      <c r="X62" s="12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</row>
    <row r="63" spans="1:64">
      <c r="B63" s="100"/>
      <c r="C63" s="100"/>
      <c r="D63" s="100"/>
      <c r="E63" s="100"/>
      <c r="F63" s="100"/>
      <c r="G63" s="12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20"/>
      <c r="T63" s="120"/>
      <c r="U63" s="120"/>
      <c r="V63" s="120"/>
      <c r="W63" s="120"/>
      <c r="X63" s="12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</row>
    <row r="64" spans="1:64">
      <c r="B64" s="100"/>
      <c r="C64" s="100"/>
      <c r="D64" s="100"/>
      <c r="E64" s="100"/>
      <c r="F64" s="100"/>
      <c r="G64" s="12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20"/>
      <c r="T64" s="120"/>
      <c r="U64" s="120"/>
      <c r="V64" s="120"/>
      <c r="W64" s="120"/>
      <c r="X64" s="12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</row>
    <row r="65" spans="2:64">
      <c r="B65" s="100"/>
      <c r="C65" s="100"/>
      <c r="D65" s="100"/>
      <c r="E65" s="100"/>
      <c r="F65" s="100"/>
      <c r="G65" s="12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20"/>
      <c r="T65" s="120"/>
      <c r="U65" s="120"/>
      <c r="V65" s="120"/>
      <c r="W65" s="120"/>
      <c r="X65" s="12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</row>
    <row r="66" spans="2:64">
      <c r="B66" s="100"/>
      <c r="C66" s="100"/>
      <c r="D66" s="100"/>
      <c r="E66" s="100"/>
      <c r="F66" s="100"/>
      <c r="G66" s="12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20"/>
      <c r="T66" s="120"/>
      <c r="U66" s="120"/>
      <c r="V66" s="120"/>
      <c r="W66" s="120"/>
      <c r="X66" s="12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</row>
    <row r="67" spans="2:64">
      <c r="B67" s="100"/>
      <c r="C67" s="100"/>
      <c r="D67" s="100"/>
      <c r="E67" s="100"/>
      <c r="F67" s="100"/>
      <c r="G67" s="12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20"/>
      <c r="T67" s="120"/>
      <c r="U67" s="120"/>
      <c r="V67" s="120"/>
      <c r="W67" s="120"/>
      <c r="X67" s="12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</row>
    <row r="68" spans="2:64">
      <c r="B68" s="100"/>
      <c r="C68" s="100"/>
      <c r="D68" s="100"/>
      <c r="E68" s="100"/>
      <c r="F68" s="100"/>
      <c r="G68" s="12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20"/>
      <c r="T68" s="120"/>
      <c r="U68" s="120"/>
      <c r="V68" s="120"/>
      <c r="W68" s="120"/>
      <c r="X68" s="12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</row>
    <row r="69" spans="2:64">
      <c r="B69" s="100"/>
      <c r="C69" s="100"/>
      <c r="D69" s="100"/>
      <c r="E69" s="100"/>
      <c r="F69" s="100"/>
      <c r="G69" s="12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20"/>
      <c r="T69" s="120"/>
      <c r="U69" s="120"/>
      <c r="V69" s="120"/>
      <c r="W69" s="120"/>
      <c r="X69" s="12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</row>
    <row r="70" spans="2:64">
      <c r="B70" s="100"/>
      <c r="C70" s="100"/>
      <c r="D70" s="100"/>
      <c r="E70" s="100"/>
      <c r="F70" s="100"/>
      <c r="G70" s="12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20"/>
      <c r="T70" s="120"/>
      <c r="U70" s="120"/>
      <c r="V70" s="120"/>
      <c r="W70" s="120"/>
      <c r="X70" s="12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</row>
    <row r="71" spans="2:64">
      <c r="B71" s="100"/>
      <c r="C71" s="100"/>
      <c r="D71" s="100"/>
      <c r="E71" s="100"/>
      <c r="F71" s="100"/>
      <c r="G71" s="12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20"/>
      <c r="T71" s="120"/>
      <c r="U71" s="120"/>
      <c r="V71" s="120"/>
      <c r="W71" s="120"/>
      <c r="X71" s="12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</row>
  </sheetData>
  <sheetProtection sheet="1" objects="1" scenarios="1" selectLockedCells="1"/>
  <mergeCells count="19">
    <mergeCell ref="F2:H2"/>
    <mergeCell ref="P22:Q22"/>
    <mergeCell ref="M21:O21"/>
    <mergeCell ref="P20:Q21"/>
    <mergeCell ref="F20:G21"/>
    <mergeCell ref="K20:L20"/>
    <mergeCell ref="I20:J20"/>
    <mergeCell ref="H21:I21"/>
    <mergeCell ref="I22:J22"/>
    <mergeCell ref="K22:L22"/>
    <mergeCell ref="K21:L21"/>
    <mergeCell ref="F22:G22"/>
    <mergeCell ref="O2:P2"/>
    <mergeCell ref="C2:D4"/>
    <mergeCell ref="B16:C16"/>
    <mergeCell ref="B5:D5"/>
    <mergeCell ref="B13:C13"/>
    <mergeCell ref="B14:C14"/>
    <mergeCell ref="B15:C15"/>
  </mergeCells>
  <conditionalFormatting sqref="S26:V26 H22 R20 S19:V19">
    <cfRule type="colorScale" priority="330">
      <colorScale>
        <cfvo type="num" val="#REF!*0.9"/>
        <cfvo type="num" val="#REF!"/>
        <cfvo type="num" val="#REF!*1.15"/>
        <color rgb="FFFF0000"/>
        <color rgb="FF00B050"/>
        <color rgb="FFFF0000"/>
      </colorScale>
    </cfRule>
  </conditionalFormatting>
  <conditionalFormatting sqref="B9:D9">
    <cfRule type="expression" dxfId="12952" priority="410">
      <formula>$B$9=$B$5</formula>
    </cfRule>
  </conditionalFormatting>
  <conditionalFormatting sqref="B10:D10">
    <cfRule type="expression" dxfId="12951" priority="21">
      <formula>$B$10=$B$5</formula>
    </cfRule>
  </conditionalFormatting>
  <conditionalFormatting sqref="B11:D11">
    <cfRule type="expression" dxfId="12950" priority="20">
      <formula>$B$11=$B$5</formula>
    </cfRule>
  </conditionalFormatting>
  <conditionalFormatting sqref="H22">
    <cfRule type="colorScale" priority="16">
      <colorScale>
        <cfvo type="num" val="#REF!*0.9"/>
        <cfvo type="num" val="#REF!"/>
        <cfvo type="num" val="#REF!*1.15"/>
        <color rgb="FFFF0000"/>
        <color rgb="FF00B050"/>
        <color rgb="FFFF0000"/>
      </colorScale>
    </cfRule>
  </conditionalFormatting>
  <conditionalFormatting sqref="K20">
    <cfRule type="expression" dxfId="12949" priority="14">
      <formula>"(M38-H38)&lt;0"</formula>
    </cfRule>
  </conditionalFormatting>
  <conditionalFormatting sqref="D16">
    <cfRule type="expression" dxfId="12948" priority="9">
      <formula>$A$15=3</formula>
    </cfRule>
  </conditionalFormatting>
  <conditionalFormatting sqref="D14">
    <cfRule type="expression" dxfId="12947" priority="8">
      <formula>$A$15=1</formula>
    </cfRule>
  </conditionalFormatting>
  <conditionalFormatting sqref="D15">
    <cfRule type="expression" dxfId="12946" priority="7">
      <formula>$A$15=2</formula>
    </cfRule>
  </conditionalFormatting>
  <conditionalFormatting sqref="N2">
    <cfRule type="expression" dxfId="12945" priority="1">
      <formula>AL42=0</formula>
    </cfRule>
  </conditionalFormatting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3" name="Control 13">
              <controlPr defaultSize="0" autoFill="0" autoPict="0">
                <anchor moveWithCells="1">
                  <from>
                    <xdr:col>1</xdr:col>
                    <xdr:colOff>12700</xdr:colOff>
                    <xdr:row>13</xdr:row>
                    <xdr:rowOff>63500</xdr:rowOff>
                  </from>
                  <to>
                    <xdr:col>1</xdr:col>
                    <xdr:colOff>596900</xdr:colOff>
                    <xdr:row>15</xdr:row>
                    <xdr:rowOff>406400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098" r:id="rId4" name="Control 2">
              <controlPr locked="0" defaultSize="0" autoFill="0" autoLine="0" autoPict="0">
                <anchor moveWithCells="1">
                  <from>
                    <xdr:col>1</xdr:col>
                    <xdr:colOff>63500</xdr:colOff>
                    <xdr:row>5</xdr:row>
                    <xdr:rowOff>12700</xdr:rowOff>
                  </from>
                  <to>
                    <xdr:col>1</xdr:col>
                    <xdr:colOff>368300</xdr:colOff>
                    <xdr:row>5</xdr:row>
                    <xdr:rowOff>330200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099" r:id="rId5" name="Control 3">
              <controlPr locked="0" defaultSize="0" autoFill="0" autoLine="0" autoPict="0">
                <anchor moveWithCells="1">
                  <from>
                    <xdr:col>2</xdr:col>
                    <xdr:colOff>63500</xdr:colOff>
                    <xdr:row>5</xdr:row>
                    <xdr:rowOff>12700</xdr:rowOff>
                  </from>
                  <to>
                    <xdr:col>2</xdr:col>
                    <xdr:colOff>368300</xdr:colOff>
                    <xdr:row>5</xdr:row>
                    <xdr:rowOff>330200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0" r:id="rId6" name="Control 4">
              <controlPr locked="0" defaultSize="0" autoFill="0" autoLine="0" autoPict="0">
                <anchor moveWithCells="1">
                  <from>
                    <xdr:col>3</xdr:col>
                    <xdr:colOff>25400</xdr:colOff>
                    <xdr:row>5</xdr:row>
                    <xdr:rowOff>12700</xdr:rowOff>
                  </from>
                  <to>
                    <xdr:col>3</xdr:col>
                    <xdr:colOff>330200</xdr:colOff>
                    <xdr:row>5</xdr:row>
                    <xdr:rowOff>330200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5" r:id="rId7" name="Control 9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13</xdr:row>
                    <xdr:rowOff>76200</xdr:rowOff>
                  </from>
                  <to>
                    <xdr:col>1</xdr:col>
                    <xdr:colOff>533400</xdr:colOff>
                    <xdr:row>13</xdr:row>
                    <xdr:rowOff>393700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6" r:id="rId8" name="Control 10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14</xdr:row>
                    <xdr:rowOff>25400</xdr:rowOff>
                  </from>
                  <to>
                    <xdr:col>1</xdr:col>
                    <xdr:colOff>520700</xdr:colOff>
                    <xdr:row>14</xdr:row>
                    <xdr:rowOff>406400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7" r:id="rId9" name="Control 11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25400</xdr:rowOff>
                  </from>
                  <to>
                    <xdr:col>1</xdr:col>
                    <xdr:colOff>520700</xdr:colOff>
                    <xdr:row>15</xdr:row>
                    <xdr:rowOff>368300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BB66"/>
  <sheetViews>
    <sheetView zoomScale="75" zoomScaleNormal="75" zoomScalePageLayoutView="75" workbookViewId="0">
      <pane ySplit="4" topLeftCell="A5" activePane="bottomLeft" state="frozen"/>
      <selection activeCell="R1" sqref="R1"/>
      <selection pane="bottomLeft" activeCell="F33" sqref="F33"/>
    </sheetView>
  </sheetViews>
  <sheetFormatPr baseColWidth="10" defaultColWidth="8.83203125" defaultRowHeight="15" x14ac:dyDescent="0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.1640625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.25" customHeight="1" thickBot="1">
      <c r="A1" s="52">
        <v>9</v>
      </c>
      <c r="B1" s="50" t="s">
        <v>0</v>
      </c>
      <c r="C1" s="51" t="s">
        <v>0</v>
      </c>
      <c r="D1" s="51"/>
      <c r="E1" s="363" t="str">
        <f>VLOOKUP(A1,'MY STATS'!$B$29:$E$40,4)</f>
        <v>Sep.</v>
      </c>
      <c r="F1" s="141" t="s">
        <v>78</v>
      </c>
      <c r="G1" s="142" t="s">
        <v>77</v>
      </c>
      <c r="H1" s="143" t="s">
        <v>79</v>
      </c>
      <c r="I1" s="144"/>
      <c r="J1" s="144" t="s">
        <v>113</v>
      </c>
      <c r="K1" s="127" t="s">
        <v>109</v>
      </c>
      <c r="L1" s="142" t="s">
        <v>114</v>
      </c>
      <c r="M1" s="127" t="s">
        <v>110</v>
      </c>
      <c r="N1" s="321" t="s">
        <v>59</v>
      </c>
      <c r="O1" s="244" t="s">
        <v>31</v>
      </c>
      <c r="P1" s="250" t="s">
        <v>32</v>
      </c>
      <c r="Q1" s="250" t="s">
        <v>32</v>
      </c>
      <c r="R1" s="343" t="s">
        <v>38</v>
      </c>
      <c r="S1" s="364" t="s">
        <v>149</v>
      </c>
      <c r="T1" s="343"/>
      <c r="U1" s="343"/>
      <c r="V1" s="343" t="s">
        <v>107</v>
      </c>
      <c r="W1" s="343" t="s">
        <v>108</v>
      </c>
      <c r="X1" s="250" t="s">
        <v>30</v>
      </c>
      <c r="Y1" s="250" t="s">
        <v>27</v>
      </c>
      <c r="Z1" s="250" t="s">
        <v>28</v>
      </c>
      <c r="AA1" s="344" t="s">
        <v>29</v>
      </c>
      <c r="AB1" s="230"/>
      <c r="AC1" s="100"/>
      <c r="AD1" s="97"/>
      <c r="AE1" s="97"/>
      <c r="AF1" s="97"/>
    </row>
    <row r="2" spans="1:34" ht="32" hidden="1" thickTop="1" thickBot="1">
      <c r="A2" s="95" t="s">
        <v>75</v>
      </c>
      <c r="B2" s="25">
        <f>VLOOKUP(A1,'MY STATS'!$B$29:$G$40,3)</f>
        <v>43344</v>
      </c>
      <c r="D2" s="45"/>
      <c r="E2" s="2" t="s">
        <v>19</v>
      </c>
      <c r="F2" s="95" t="s">
        <v>74</v>
      </c>
      <c r="G2" s="93" t="s">
        <v>61</v>
      </c>
      <c r="H2" s="64" t="s">
        <v>60</v>
      </c>
      <c r="I2" s="64"/>
      <c r="J2" s="64"/>
      <c r="K2" s="64"/>
      <c r="L2" s="64"/>
      <c r="M2" s="64"/>
      <c r="N2" s="322"/>
      <c r="O2" s="345"/>
      <c r="P2" s="230"/>
      <c r="Q2" s="230"/>
      <c r="R2" s="346">
        <f>'MY STATS'!A15</f>
        <v>1</v>
      </c>
      <c r="S2" s="346"/>
      <c r="T2" s="346"/>
      <c r="U2" s="346"/>
      <c r="V2" s="346"/>
      <c r="W2" s="346"/>
      <c r="X2" s="230"/>
      <c r="Y2" s="230"/>
      <c r="Z2" s="234"/>
      <c r="AA2" s="234"/>
      <c r="AB2" s="230"/>
      <c r="AC2" s="100"/>
      <c r="AD2" s="97"/>
      <c r="AE2" s="97"/>
      <c r="AF2" s="97"/>
    </row>
    <row r="3" spans="1:34" ht="17" hidden="1" thickTop="1" thickBot="1">
      <c r="A3" s="96">
        <f>'MY STATS'!D41</f>
        <v>43466</v>
      </c>
      <c r="B3" s="25">
        <f>VLOOKUP(A1+1,'MY STATS'!$B$29:$G$41,3)-1</f>
        <v>43373</v>
      </c>
      <c r="C3" s="25">
        <f>VLOOKUP(A1,'MY STATS'!$B$29:$G$40,2)</f>
        <v>43339</v>
      </c>
      <c r="D3" s="46"/>
      <c r="E3" s="4">
        <f ca="1">TODAY()</f>
        <v>43138</v>
      </c>
      <c r="F3" s="65">
        <f>'MY STATS'!B$11</f>
        <v>587410.55929510726</v>
      </c>
      <c r="G3" s="65">
        <f>VLOOKUP(A1-1,'MY STATS'!B$28:J$40,9)</f>
        <v>0</v>
      </c>
      <c r="H3" s="66">
        <f>VLOOKUP($A$1-1,'MY STATS'!$B$28:$I$41,8)</f>
        <v>0</v>
      </c>
      <c r="I3" s="66"/>
      <c r="J3" s="66"/>
      <c r="K3" s="66"/>
      <c r="L3" s="65"/>
      <c r="M3" s="65"/>
      <c r="N3" s="323"/>
      <c r="O3" s="345"/>
      <c r="P3" s="230"/>
      <c r="Q3" s="230"/>
      <c r="R3" s="346"/>
      <c r="S3" s="346"/>
      <c r="T3" s="346"/>
      <c r="U3" s="346"/>
      <c r="V3" s="346"/>
      <c r="W3" s="346"/>
      <c r="X3" s="230"/>
      <c r="Y3" s="230"/>
      <c r="Z3" s="234"/>
      <c r="AA3" s="234"/>
      <c r="AB3" s="230"/>
      <c r="AC3" s="100"/>
      <c r="AD3" s="97"/>
      <c r="AE3" s="97"/>
      <c r="AF3" s="97"/>
    </row>
    <row r="4" spans="1:34" ht="14" hidden="1" customHeight="1" thickTop="1" thickBot="1">
      <c r="A4" s="3"/>
      <c r="C4" s="37">
        <f>C3-1</f>
        <v>43338</v>
      </c>
      <c r="D4" s="3"/>
      <c r="O4" s="347"/>
      <c r="P4" s="260">
        <f t="shared" ref="P4:P11" si="0">H$56</f>
        <v>144444.8812999198</v>
      </c>
      <c r="Q4" s="169">
        <f>IF(R$2=3,P4,IF(R$2=2,P4*1.0936,IF(R$2=1,P4*0.000568181818*1.0936133,"")))</f>
        <v>89.753888213616023</v>
      </c>
      <c r="R4" s="246"/>
      <c r="S4" s="246"/>
      <c r="T4" s="246"/>
      <c r="U4" s="246"/>
      <c r="V4" s="246"/>
      <c r="W4" s="246"/>
      <c r="X4" s="260"/>
      <c r="Y4" s="260"/>
      <c r="Z4" s="259">
        <v>0</v>
      </c>
      <c r="AA4" s="234"/>
      <c r="AB4" s="230">
        <v>0</v>
      </c>
      <c r="AC4" s="100"/>
      <c r="AD4" s="97"/>
      <c r="AE4" s="97"/>
      <c r="AF4" s="97"/>
    </row>
    <row r="5" spans="1:34" ht="16" thickTop="1">
      <c r="A5" s="26" t="s">
        <v>8</v>
      </c>
      <c r="B5" s="23">
        <f>IF(B$2&gt;C5,0,C5)</f>
        <v>0</v>
      </c>
      <c r="C5" s="37">
        <f>C3</f>
        <v>43339</v>
      </c>
      <c r="D5" s="24">
        <f t="shared" ref="D5:D51" ca="1" si="1">TODAY()-C5</f>
        <v>-201</v>
      </c>
      <c r="E5" s="115" t="str">
        <f>IF(B5=0,"","Monday")</f>
        <v/>
      </c>
      <c r="F5" s="55"/>
      <c r="G5" s="56"/>
      <c r="H5" s="56"/>
      <c r="I5" s="199"/>
      <c r="J5" s="56"/>
      <c r="K5" s="201" t="str">
        <f t="shared" ref="K5" si="2">IF(R5=0,"",IF(L5="","",J5))</f>
        <v/>
      </c>
      <c r="L5" s="56"/>
      <c r="M5" s="56" t="str">
        <f>IF(R5=0,"",IF(J5="","",L5))</f>
        <v/>
      </c>
      <c r="N5" s="324"/>
      <c r="O5" s="259" t="str">
        <f t="shared" ref="O5:O51" si="3">IF(B5=0,"",(F$3-G$3)/(A$3-B$2)+0.1)</f>
        <v/>
      </c>
      <c r="P5" s="260">
        <f t="shared" si="0"/>
        <v>144444.8812999198</v>
      </c>
      <c r="Q5" s="169">
        <f t="shared" ref="Q5:Q51" si="4">IF(R$2=3,P5,IF(R$2=2,P5*1.0936,IF(R$2=1,P5*0.000568181818*1.0936133,"")))</f>
        <v>89.753888213616023</v>
      </c>
      <c r="R5" s="169">
        <f>IF(R$2=3,H5+G5/1.0936133+F5/0.0006213712,IF(R$2=2,H5*1.0936133+G5+F5/0.0005681818,IF(R$2=1,H5*0.0005681818*1.0936133+G5*0.0005681818+F5,"")))</f>
        <v>0</v>
      </c>
      <c r="S5" s="368" t="str">
        <f>IF(R5=0,"",R5*IF(L5&gt;0,1,0))</f>
        <v/>
      </c>
      <c r="T5" s="169"/>
      <c r="U5" s="169"/>
      <c r="V5" s="170" t="str">
        <f t="shared" ref="V5:V11" si="5">IF(L5="","",IF(R5=0,"",IF(B5=0,"",IF($R$2=3,R5/L5*60/1000,IF($R$2=2,R5/L5*60/1760,IF($R$2=1,R5/L5*60,""))))))</f>
        <v/>
      </c>
      <c r="W5" s="170" t="str">
        <f t="shared" ref="W5:W11" si="6">IF(R5=0,"",IF(L5="","",V5*L5))</f>
        <v/>
      </c>
      <c r="X5" s="259">
        <f t="shared" ref="X5:Z11" si="7">F5+X4</f>
        <v>0</v>
      </c>
      <c r="Y5" s="259">
        <f t="shared" si="7"/>
        <v>0</v>
      </c>
      <c r="Z5" s="259">
        <f t="shared" si="7"/>
        <v>0</v>
      </c>
      <c r="AA5" s="348">
        <f t="shared" ref="AA5:AA51" si="8">Z5/1000+Y5/1093.6133+X5/0.621371192</f>
        <v>0</v>
      </c>
      <c r="AB5" s="349">
        <f>R5</f>
        <v>0</v>
      </c>
      <c r="AC5" s="120"/>
      <c r="AD5" s="98"/>
      <c r="AE5" s="98"/>
      <c r="AF5" s="98"/>
    </row>
    <row r="6" spans="1:34">
      <c r="A6" s="27"/>
      <c r="B6" s="5">
        <f t="shared" ref="B6:B11" si="9">IF(B$2&gt;C6,0,C6)</f>
        <v>0</v>
      </c>
      <c r="C6" s="38">
        <f>C3+1</f>
        <v>43340</v>
      </c>
      <c r="D6" s="7">
        <f t="shared" ca="1" si="1"/>
        <v>-202</v>
      </c>
      <c r="E6" s="114" t="str">
        <f>IF(B6=0,"","Tuesday")</f>
        <v/>
      </c>
      <c r="F6" s="55"/>
      <c r="G6" s="56"/>
      <c r="H6" s="56"/>
      <c r="I6" s="200"/>
      <c r="J6" s="56"/>
      <c r="K6" s="201" t="str">
        <f>IF(R6=0,"",IF(L6="","",J6))</f>
        <v/>
      </c>
      <c r="L6" s="56"/>
      <c r="M6" s="56" t="str">
        <f t="shared" ref="M6:M11" si="10">IF(R6=0,"",IF(J6="","",L6))</f>
        <v/>
      </c>
      <c r="N6" s="324"/>
      <c r="O6" s="259" t="str">
        <f t="shared" si="3"/>
        <v/>
      </c>
      <c r="P6" s="260">
        <f t="shared" si="0"/>
        <v>144444.8812999198</v>
      </c>
      <c r="Q6" s="169">
        <f t="shared" si="4"/>
        <v>89.753888213616023</v>
      </c>
      <c r="R6" s="169">
        <f t="shared" ref="R6:R11" si="11">IF(R$2=3,H6+G6/1.0936133+F6/0.0006213712,IF(R$2=2,H6*1.0936133+G6+F6/0.0005681818,IF(R$2=1,H6*0.0005681818*1.0936133+G6*0.0005681818+F6,"")))</f>
        <v>0</v>
      </c>
      <c r="S6" s="368" t="str">
        <f t="shared" ref="S6:S51" si="12">IF(R6=0,"",R6*IF(L6&gt;0,1,0))</f>
        <v/>
      </c>
      <c r="T6" s="169"/>
      <c r="U6" s="169"/>
      <c r="V6" s="170" t="str">
        <f t="shared" si="5"/>
        <v/>
      </c>
      <c r="W6" s="170" t="str">
        <f t="shared" si="6"/>
        <v/>
      </c>
      <c r="X6" s="259">
        <f t="shared" si="7"/>
        <v>0</v>
      </c>
      <c r="Y6" s="259">
        <f t="shared" si="7"/>
        <v>0</v>
      </c>
      <c r="Z6" s="259">
        <f t="shared" si="7"/>
        <v>0</v>
      </c>
      <c r="AA6" s="348">
        <f t="shared" si="8"/>
        <v>0</v>
      </c>
      <c r="AB6" s="274">
        <f t="shared" ref="AB6:AB51" si="13">AB5+R6</f>
        <v>0</v>
      </c>
      <c r="AC6" s="100"/>
      <c r="AD6" s="97"/>
      <c r="AE6" s="97"/>
      <c r="AF6" s="97"/>
      <c r="AH6" s="10"/>
    </row>
    <row r="7" spans="1:34">
      <c r="A7" s="27"/>
      <c r="B7" s="5">
        <f t="shared" si="9"/>
        <v>0</v>
      </c>
      <c r="C7" s="38">
        <f>C3+2</f>
        <v>43341</v>
      </c>
      <c r="D7" s="7">
        <f t="shared" ca="1" si="1"/>
        <v>-203</v>
      </c>
      <c r="E7" s="114" t="str">
        <f>IF(B7=0,"","Wednesday")</f>
        <v/>
      </c>
      <c r="F7" s="55"/>
      <c r="G7" s="56"/>
      <c r="H7" s="56"/>
      <c r="I7" s="200"/>
      <c r="J7" s="56"/>
      <c r="K7" s="201" t="str">
        <f t="shared" ref="K7:K11" si="14">IF(R7=0,"",IF(L7="","",J7))</f>
        <v/>
      </c>
      <c r="L7" s="56"/>
      <c r="M7" s="56" t="str">
        <f t="shared" si="10"/>
        <v/>
      </c>
      <c r="N7" s="325"/>
      <c r="O7" s="259" t="str">
        <f t="shared" si="3"/>
        <v/>
      </c>
      <c r="P7" s="260">
        <f t="shared" si="0"/>
        <v>144444.8812999198</v>
      </c>
      <c r="Q7" s="169">
        <f t="shared" si="4"/>
        <v>89.753888213616023</v>
      </c>
      <c r="R7" s="169">
        <f t="shared" si="11"/>
        <v>0</v>
      </c>
      <c r="S7" s="368" t="str">
        <f t="shared" si="12"/>
        <v/>
      </c>
      <c r="T7" s="169"/>
      <c r="U7" s="169"/>
      <c r="V7" s="170" t="str">
        <f t="shared" si="5"/>
        <v/>
      </c>
      <c r="W7" s="170" t="str">
        <f t="shared" si="6"/>
        <v/>
      </c>
      <c r="X7" s="259">
        <f t="shared" si="7"/>
        <v>0</v>
      </c>
      <c r="Y7" s="259">
        <f t="shared" si="7"/>
        <v>0</v>
      </c>
      <c r="Z7" s="259">
        <f t="shared" si="7"/>
        <v>0</v>
      </c>
      <c r="AA7" s="348">
        <f t="shared" si="8"/>
        <v>0</v>
      </c>
      <c r="AB7" s="274">
        <f t="shared" si="13"/>
        <v>0</v>
      </c>
      <c r="AC7" s="100"/>
      <c r="AD7" s="97"/>
      <c r="AE7" s="97"/>
      <c r="AF7" s="97"/>
    </row>
    <row r="8" spans="1:34">
      <c r="A8" s="27"/>
      <c r="B8" s="5">
        <f t="shared" si="9"/>
        <v>0</v>
      </c>
      <c r="C8" s="38">
        <f>C3+3</f>
        <v>43342</v>
      </c>
      <c r="D8" s="7">
        <f t="shared" ca="1" si="1"/>
        <v>-204</v>
      </c>
      <c r="E8" s="114" t="str">
        <f>IF(B8=0,"","Thursday")</f>
        <v/>
      </c>
      <c r="F8" s="55"/>
      <c r="G8" s="56"/>
      <c r="H8" s="56"/>
      <c r="I8" s="200"/>
      <c r="J8" s="56"/>
      <c r="K8" s="201" t="str">
        <f t="shared" si="14"/>
        <v/>
      </c>
      <c r="L8" s="56"/>
      <c r="M8" s="56" t="str">
        <f t="shared" si="10"/>
        <v/>
      </c>
      <c r="N8" s="325"/>
      <c r="O8" s="259" t="str">
        <f t="shared" si="3"/>
        <v/>
      </c>
      <c r="P8" s="260">
        <f t="shared" si="0"/>
        <v>144444.8812999198</v>
      </c>
      <c r="Q8" s="169">
        <f t="shared" si="4"/>
        <v>89.753888213616023</v>
      </c>
      <c r="R8" s="169">
        <f t="shared" si="11"/>
        <v>0</v>
      </c>
      <c r="S8" s="368" t="str">
        <f t="shared" si="12"/>
        <v/>
      </c>
      <c r="T8" s="169"/>
      <c r="U8" s="169"/>
      <c r="V8" s="170" t="str">
        <f t="shared" si="5"/>
        <v/>
      </c>
      <c r="W8" s="170" t="str">
        <f t="shared" si="6"/>
        <v/>
      </c>
      <c r="X8" s="259">
        <f t="shared" si="7"/>
        <v>0</v>
      </c>
      <c r="Y8" s="259">
        <f t="shared" si="7"/>
        <v>0</v>
      </c>
      <c r="Z8" s="259">
        <f t="shared" si="7"/>
        <v>0</v>
      </c>
      <c r="AA8" s="348">
        <f t="shared" si="8"/>
        <v>0</v>
      </c>
      <c r="AB8" s="274">
        <f t="shared" si="13"/>
        <v>0</v>
      </c>
      <c r="AC8" s="100"/>
      <c r="AD8" s="97"/>
      <c r="AE8" s="97"/>
      <c r="AF8" s="97"/>
    </row>
    <row r="9" spans="1:34">
      <c r="A9" s="27"/>
      <c r="B9" s="5">
        <f t="shared" si="9"/>
        <v>0</v>
      </c>
      <c r="C9" s="38">
        <f>C3+4</f>
        <v>43343</v>
      </c>
      <c r="D9" s="7">
        <f t="shared" ca="1" si="1"/>
        <v>-205</v>
      </c>
      <c r="E9" s="114" t="str">
        <f>IF(B9=0,"","Friday")</f>
        <v/>
      </c>
      <c r="F9" s="55"/>
      <c r="G9" s="56"/>
      <c r="H9" s="56"/>
      <c r="I9" s="200"/>
      <c r="J9" s="56"/>
      <c r="K9" s="201" t="str">
        <f t="shared" si="14"/>
        <v/>
      </c>
      <c r="L9" s="56"/>
      <c r="M9" s="56" t="str">
        <f t="shared" si="10"/>
        <v/>
      </c>
      <c r="N9" s="324"/>
      <c r="O9" s="259" t="str">
        <f t="shared" si="3"/>
        <v/>
      </c>
      <c r="P9" s="260">
        <f t="shared" si="0"/>
        <v>144444.8812999198</v>
      </c>
      <c r="Q9" s="169">
        <f t="shared" si="4"/>
        <v>89.753888213616023</v>
      </c>
      <c r="R9" s="169">
        <f t="shared" si="11"/>
        <v>0</v>
      </c>
      <c r="S9" s="368" t="str">
        <f t="shared" si="12"/>
        <v/>
      </c>
      <c r="T9" s="169"/>
      <c r="U9" s="169"/>
      <c r="V9" s="170" t="str">
        <f t="shared" si="5"/>
        <v/>
      </c>
      <c r="W9" s="170" t="str">
        <f t="shared" si="6"/>
        <v/>
      </c>
      <c r="X9" s="259">
        <f t="shared" si="7"/>
        <v>0</v>
      </c>
      <c r="Y9" s="259">
        <f t="shared" si="7"/>
        <v>0</v>
      </c>
      <c r="Z9" s="259">
        <f t="shared" si="7"/>
        <v>0</v>
      </c>
      <c r="AA9" s="348">
        <f t="shared" si="8"/>
        <v>0</v>
      </c>
      <c r="AB9" s="274">
        <f t="shared" si="13"/>
        <v>0</v>
      </c>
      <c r="AC9" s="100"/>
      <c r="AD9" s="97"/>
      <c r="AE9" s="97"/>
      <c r="AF9" s="97"/>
    </row>
    <row r="10" spans="1:34">
      <c r="A10" s="27"/>
      <c r="B10" s="5">
        <f t="shared" si="9"/>
        <v>43344</v>
      </c>
      <c r="C10" s="38">
        <f>C3+5</f>
        <v>43344</v>
      </c>
      <c r="D10" s="7">
        <f t="shared" ca="1" si="1"/>
        <v>-206</v>
      </c>
      <c r="E10" s="114" t="str">
        <f>IF(B10=0,"","Saturday")</f>
        <v>Saturday</v>
      </c>
      <c r="F10" s="55"/>
      <c r="G10" s="56"/>
      <c r="H10" s="56"/>
      <c r="I10" s="200"/>
      <c r="J10" s="56"/>
      <c r="K10" s="201" t="str">
        <f t="shared" si="14"/>
        <v/>
      </c>
      <c r="L10" s="56"/>
      <c r="M10" s="56" t="str">
        <f t="shared" si="10"/>
        <v/>
      </c>
      <c r="N10" s="324"/>
      <c r="O10" s="259">
        <f t="shared" si="3"/>
        <v>4814.9406499598963</v>
      </c>
      <c r="P10" s="260">
        <f t="shared" si="0"/>
        <v>144444.8812999198</v>
      </c>
      <c r="Q10" s="169">
        <f t="shared" si="4"/>
        <v>89.753888213616023</v>
      </c>
      <c r="R10" s="169">
        <f t="shared" si="11"/>
        <v>0</v>
      </c>
      <c r="S10" s="368" t="str">
        <f t="shared" si="12"/>
        <v/>
      </c>
      <c r="T10" s="169"/>
      <c r="U10" s="169"/>
      <c r="V10" s="170" t="str">
        <f t="shared" si="5"/>
        <v/>
      </c>
      <c r="W10" s="170" t="str">
        <f t="shared" si="6"/>
        <v/>
      </c>
      <c r="X10" s="259">
        <f t="shared" si="7"/>
        <v>0</v>
      </c>
      <c r="Y10" s="259">
        <f t="shared" si="7"/>
        <v>0</v>
      </c>
      <c r="Z10" s="259">
        <f t="shared" si="7"/>
        <v>0</v>
      </c>
      <c r="AA10" s="348">
        <f t="shared" si="8"/>
        <v>0</v>
      </c>
      <c r="AB10" s="274">
        <f t="shared" si="13"/>
        <v>0</v>
      </c>
      <c r="AC10" s="100"/>
      <c r="AD10" s="97"/>
      <c r="AE10" s="97"/>
      <c r="AF10" s="97"/>
    </row>
    <row r="11" spans="1:34" ht="16" thickBot="1">
      <c r="A11" s="27"/>
      <c r="B11" s="53">
        <f t="shared" si="9"/>
        <v>43345</v>
      </c>
      <c r="C11" s="41">
        <f>C3+6</f>
        <v>43345</v>
      </c>
      <c r="D11" s="54">
        <f t="shared" ca="1" si="1"/>
        <v>-207</v>
      </c>
      <c r="E11" s="117" t="str">
        <f>IF(B11=0,"","Sunday")</f>
        <v>Sunday</v>
      </c>
      <c r="F11" s="55"/>
      <c r="G11" s="56"/>
      <c r="H11" s="56"/>
      <c r="I11" s="200"/>
      <c r="J11" s="56"/>
      <c r="K11" s="201" t="str">
        <f t="shared" si="14"/>
        <v/>
      </c>
      <c r="L11" s="56"/>
      <c r="M11" s="56" t="str">
        <f t="shared" si="10"/>
        <v/>
      </c>
      <c r="N11" s="326"/>
      <c r="O11" s="259">
        <f t="shared" si="3"/>
        <v>4814.9406499598963</v>
      </c>
      <c r="P11" s="260">
        <f t="shared" si="0"/>
        <v>144444.8812999198</v>
      </c>
      <c r="Q11" s="169">
        <f t="shared" si="4"/>
        <v>89.753888213616023</v>
      </c>
      <c r="R11" s="169">
        <f t="shared" si="11"/>
        <v>0</v>
      </c>
      <c r="S11" s="368" t="str">
        <f t="shared" si="12"/>
        <v/>
      </c>
      <c r="T11" s="169"/>
      <c r="U11" s="169"/>
      <c r="V11" s="170" t="str">
        <f t="shared" si="5"/>
        <v/>
      </c>
      <c r="W11" s="170" t="str">
        <f t="shared" si="6"/>
        <v/>
      </c>
      <c r="X11" s="259">
        <f t="shared" si="7"/>
        <v>0</v>
      </c>
      <c r="Y11" s="259">
        <f t="shared" si="7"/>
        <v>0</v>
      </c>
      <c r="Z11" s="259">
        <f t="shared" si="7"/>
        <v>0</v>
      </c>
      <c r="AA11" s="348">
        <f t="shared" si="8"/>
        <v>0</v>
      </c>
      <c r="AB11" s="274">
        <f t="shared" si="13"/>
        <v>0</v>
      </c>
      <c r="AC11" s="100"/>
      <c r="AD11" s="97"/>
      <c r="AE11" s="97"/>
      <c r="AF11" s="97"/>
    </row>
    <row r="12" spans="1:34" ht="16" thickTop="1">
      <c r="A12" s="29"/>
      <c r="B12" s="16"/>
      <c r="C12" s="42"/>
      <c r="D12" s="60">
        <f ca="1">TODAY()-C12</f>
        <v>43138</v>
      </c>
      <c r="E12" s="113" t="s">
        <v>76</v>
      </c>
      <c r="F12" s="59">
        <f ca="1">G12*0.000568181818</f>
        <v>0</v>
      </c>
      <c r="G12" s="19">
        <f ca="1">H12*1.0936113</f>
        <v>0</v>
      </c>
      <c r="H12" s="129">
        <f ca="1">IF(TODAY()&gt;=B5,AA11*1000,-2E-55)</f>
        <v>0</v>
      </c>
      <c r="I12" s="135"/>
      <c r="J12" s="443" t="s">
        <v>121</v>
      </c>
      <c r="K12" s="444"/>
      <c r="L12" s="444"/>
      <c r="M12" s="444"/>
      <c r="N12" s="444"/>
      <c r="O12" s="259" t="str">
        <f t="shared" si="3"/>
        <v/>
      </c>
      <c r="P12" s="260"/>
      <c r="Q12" s="169">
        <f t="shared" si="4"/>
        <v>0</v>
      </c>
      <c r="R12" s="350"/>
      <c r="S12" s="368" t="str">
        <f t="shared" si="12"/>
        <v/>
      </c>
      <c r="T12" s="350"/>
      <c r="U12" s="350"/>
      <c r="V12" s="350"/>
      <c r="W12" s="350"/>
      <c r="X12" s="260"/>
      <c r="Y12" s="260"/>
      <c r="Z12" s="234"/>
      <c r="AA12" s="348">
        <f t="shared" si="8"/>
        <v>0</v>
      </c>
      <c r="AB12" s="274">
        <f t="shared" si="13"/>
        <v>0</v>
      </c>
      <c r="AC12" s="100"/>
      <c r="AD12" s="97"/>
      <c r="AE12" s="97"/>
      <c r="AF12" s="97"/>
    </row>
    <row r="13" spans="1:34" ht="16" thickBot="1">
      <c r="A13" s="28"/>
      <c r="B13" s="17"/>
      <c r="C13" s="39"/>
      <c r="D13" s="61">
        <f ca="1">TODAY()-C13</f>
        <v>43138</v>
      </c>
      <c r="E13" s="116" t="s">
        <v>33</v>
      </c>
      <c r="F13" s="62">
        <f>G13*0.0005681818</f>
        <v>5.9837196990044728</v>
      </c>
      <c r="G13" s="63">
        <f>H13*1.0936113</f>
        <v>10531.347007250975</v>
      </c>
      <c r="H13" s="130">
        <f>SUM($O5:$O11)</f>
        <v>9629.8812999197926</v>
      </c>
      <c r="I13" s="136"/>
      <c r="J13" s="445" t="str">
        <f>IF(R$2=1,"MILES &amp; mph",IF(R$2=2,"YARDS &amp; mph",IF(R$2=3,"METRES &amp; km/h","????")))</f>
        <v>MILES &amp; mph</v>
      </c>
      <c r="K13" s="446"/>
      <c r="L13" s="446"/>
      <c r="M13" s="446"/>
      <c r="N13" s="446"/>
      <c r="O13" s="259" t="str">
        <f t="shared" si="3"/>
        <v/>
      </c>
      <c r="P13" s="260"/>
      <c r="Q13" s="169">
        <f t="shared" si="4"/>
        <v>0</v>
      </c>
      <c r="R13" s="351"/>
      <c r="S13" s="368" t="str">
        <f t="shared" si="12"/>
        <v/>
      </c>
      <c r="T13" s="351"/>
      <c r="U13" s="351"/>
      <c r="V13" s="351"/>
      <c r="W13" s="351"/>
      <c r="X13" s="260"/>
      <c r="Y13" s="260"/>
      <c r="Z13" s="234"/>
      <c r="AA13" s="348">
        <f t="shared" si="8"/>
        <v>0</v>
      </c>
      <c r="AB13" s="274">
        <f t="shared" si="13"/>
        <v>0</v>
      </c>
      <c r="AC13" s="100"/>
      <c r="AD13" s="97"/>
      <c r="AE13" s="97"/>
      <c r="AF13" s="97"/>
    </row>
    <row r="14" spans="1:34" ht="16" thickTop="1">
      <c r="A14" s="1" t="s">
        <v>9</v>
      </c>
      <c r="B14" s="57">
        <f t="shared" ref="B14:B20" si="15">IF(B$2&gt;C14,0,C14)</f>
        <v>43346</v>
      </c>
      <c r="C14" s="40">
        <f>C11+1</f>
        <v>43346</v>
      </c>
      <c r="D14" s="22">
        <f t="shared" ca="1" si="1"/>
        <v>-208</v>
      </c>
      <c r="E14" s="118" t="s">
        <v>1</v>
      </c>
      <c r="F14" s="55"/>
      <c r="G14" s="56"/>
      <c r="H14" s="56"/>
      <c r="I14" s="136"/>
      <c r="J14" s="128"/>
      <c r="K14" s="201" t="str">
        <f t="shared" ref="K14" si="16">IF(R14=0,"",IF(L14="","",J14))</f>
        <v/>
      </c>
      <c r="L14" s="128"/>
      <c r="M14" s="56" t="str">
        <f>IF(R14=0,"",IF(J14="","",L14))</f>
        <v/>
      </c>
      <c r="N14" s="327"/>
      <c r="O14" s="259">
        <f t="shared" si="3"/>
        <v>4814.9406499598963</v>
      </c>
      <c r="P14" s="260">
        <f t="shared" ref="P14:P20" si="17">H$56</f>
        <v>144444.8812999198</v>
      </c>
      <c r="Q14" s="169">
        <f t="shared" si="4"/>
        <v>89.753888213616023</v>
      </c>
      <c r="R14" s="169">
        <f>IF(R$2=3,H14+G14/1.0936133+F14/0.0006213712,IF(R$2=2,H14*1.0936133+G14+F14/0.0005681818,IF(R$2=1,H14*0.0005681818*1.0936133+G14*0.0005681818+F14,"")))</f>
        <v>0</v>
      </c>
      <c r="S14" s="368" t="str">
        <f t="shared" si="12"/>
        <v/>
      </c>
      <c r="T14" s="169"/>
      <c r="U14" s="169"/>
      <c r="V14" s="170" t="str">
        <f t="shared" ref="V14:V20" si="18">IF(L14="","",IF(R14=0,"",IF(B14=0,"",IF($R$2=3,R14/L14*60/1000,IF($R$2=2,R14/L14*60/1760,IF($R$2=1,R14/L14*60,""))))))</f>
        <v/>
      </c>
      <c r="W14" s="170" t="str">
        <f t="shared" ref="W14:W20" si="19">IF(R14=0,"",IF(L14="","",V14*L14))</f>
        <v/>
      </c>
      <c r="X14" s="259">
        <f>F14+X11</f>
        <v>0</v>
      </c>
      <c r="Y14" s="259">
        <f>G14+Y11</f>
        <v>0</v>
      </c>
      <c r="Z14" s="259">
        <f>H14+Z11</f>
        <v>0</v>
      </c>
      <c r="AA14" s="348">
        <f t="shared" si="8"/>
        <v>0</v>
      </c>
      <c r="AB14" s="274">
        <f t="shared" si="13"/>
        <v>0</v>
      </c>
      <c r="AC14" s="100"/>
      <c r="AD14" s="97"/>
      <c r="AE14" s="97"/>
      <c r="AF14" s="97"/>
    </row>
    <row r="15" spans="1:34">
      <c r="A15" s="1"/>
      <c r="B15" s="5">
        <f t="shared" si="15"/>
        <v>43347</v>
      </c>
      <c r="C15" s="38">
        <f t="shared" ref="C15:C20" si="20">C14+1</f>
        <v>43347</v>
      </c>
      <c r="D15" s="7">
        <f t="shared" ca="1" si="1"/>
        <v>-209</v>
      </c>
      <c r="E15" s="114" t="s">
        <v>2</v>
      </c>
      <c r="F15" s="55"/>
      <c r="G15" s="56"/>
      <c r="H15" s="56"/>
      <c r="I15" s="200"/>
      <c r="J15" s="56"/>
      <c r="K15" s="201" t="str">
        <f>IF(R15=0,"",IF(L15="","",J15))</f>
        <v/>
      </c>
      <c r="L15" s="56"/>
      <c r="M15" s="56" t="str">
        <f t="shared" ref="M15:M20" si="21">IF(R15=0,"",IF(J15="","",L15))</f>
        <v/>
      </c>
      <c r="N15" s="328"/>
      <c r="O15" s="259">
        <f t="shared" si="3"/>
        <v>4814.9406499598963</v>
      </c>
      <c r="P15" s="260">
        <f t="shared" si="17"/>
        <v>144444.8812999198</v>
      </c>
      <c r="Q15" s="169">
        <f t="shared" si="4"/>
        <v>89.753888213616023</v>
      </c>
      <c r="R15" s="169">
        <f t="shared" ref="R15:R20" si="22">IF(R$2=3,H15+G15/1.0936133+F15/0.0006213712,IF(R$2=2,H15*1.0936133+G15+F15/0.0005681818,IF(R$2=1,H15*0.0005681818*1.0936133+G15*0.0005681818+F15,"")))</f>
        <v>0</v>
      </c>
      <c r="S15" s="368" t="str">
        <f t="shared" si="12"/>
        <v/>
      </c>
      <c r="T15" s="169"/>
      <c r="U15" s="169"/>
      <c r="V15" s="170" t="str">
        <f t="shared" si="18"/>
        <v/>
      </c>
      <c r="W15" s="170" t="str">
        <f t="shared" si="19"/>
        <v/>
      </c>
      <c r="X15" s="259">
        <f t="shared" ref="X15:Z20" si="23">F15+X14</f>
        <v>0</v>
      </c>
      <c r="Y15" s="259">
        <f t="shared" si="23"/>
        <v>0</v>
      </c>
      <c r="Z15" s="259">
        <f t="shared" si="23"/>
        <v>0</v>
      </c>
      <c r="AA15" s="348">
        <f t="shared" si="8"/>
        <v>0</v>
      </c>
      <c r="AB15" s="274">
        <f t="shared" si="13"/>
        <v>0</v>
      </c>
      <c r="AC15" s="100"/>
      <c r="AD15" s="97"/>
      <c r="AE15" s="97"/>
      <c r="AF15" s="97"/>
    </row>
    <row r="16" spans="1:34">
      <c r="A16" s="1"/>
      <c r="B16" s="5">
        <f t="shared" si="15"/>
        <v>43348</v>
      </c>
      <c r="C16" s="38">
        <f t="shared" si="20"/>
        <v>43348</v>
      </c>
      <c r="D16" s="7">
        <f t="shared" ca="1" si="1"/>
        <v>-210</v>
      </c>
      <c r="E16" s="114" t="s">
        <v>3</v>
      </c>
      <c r="F16" s="55"/>
      <c r="G16" s="56"/>
      <c r="H16" s="56"/>
      <c r="I16" s="200"/>
      <c r="J16" s="56"/>
      <c r="K16" s="201" t="str">
        <f t="shared" ref="K16:K20" si="24">IF(R16=0,"",IF(L16="","",J16))</f>
        <v/>
      </c>
      <c r="L16" s="56"/>
      <c r="M16" s="56" t="str">
        <f t="shared" si="21"/>
        <v/>
      </c>
      <c r="N16" s="328"/>
      <c r="O16" s="259">
        <f t="shared" si="3"/>
        <v>4814.9406499598963</v>
      </c>
      <c r="P16" s="260">
        <f t="shared" si="17"/>
        <v>144444.8812999198</v>
      </c>
      <c r="Q16" s="169">
        <f t="shared" si="4"/>
        <v>89.753888213616023</v>
      </c>
      <c r="R16" s="169">
        <f t="shared" si="22"/>
        <v>0</v>
      </c>
      <c r="S16" s="368" t="str">
        <f t="shared" si="12"/>
        <v/>
      </c>
      <c r="T16" s="169"/>
      <c r="U16" s="169"/>
      <c r="V16" s="170" t="str">
        <f t="shared" si="18"/>
        <v/>
      </c>
      <c r="W16" s="170" t="str">
        <f t="shared" si="19"/>
        <v/>
      </c>
      <c r="X16" s="259">
        <f t="shared" si="23"/>
        <v>0</v>
      </c>
      <c r="Y16" s="259">
        <f t="shared" si="23"/>
        <v>0</v>
      </c>
      <c r="Z16" s="259">
        <f t="shared" si="23"/>
        <v>0</v>
      </c>
      <c r="AA16" s="348">
        <f t="shared" si="8"/>
        <v>0</v>
      </c>
      <c r="AB16" s="274">
        <f t="shared" si="13"/>
        <v>0</v>
      </c>
      <c r="AC16" s="100"/>
      <c r="AD16" s="97"/>
      <c r="AE16" s="97"/>
      <c r="AF16" s="97"/>
    </row>
    <row r="17" spans="1:32">
      <c r="A17" s="1"/>
      <c r="B17" s="5">
        <f t="shared" si="15"/>
        <v>43349</v>
      </c>
      <c r="C17" s="38">
        <f t="shared" si="20"/>
        <v>43349</v>
      </c>
      <c r="D17" s="7">
        <f t="shared" ca="1" si="1"/>
        <v>-211</v>
      </c>
      <c r="E17" s="114" t="s">
        <v>4</v>
      </c>
      <c r="F17" s="55"/>
      <c r="G17" s="56"/>
      <c r="H17" s="56"/>
      <c r="I17" s="200"/>
      <c r="J17" s="56"/>
      <c r="K17" s="201" t="str">
        <f t="shared" si="24"/>
        <v/>
      </c>
      <c r="L17" s="56"/>
      <c r="M17" s="56" t="str">
        <f t="shared" si="21"/>
        <v/>
      </c>
      <c r="N17" s="328"/>
      <c r="O17" s="259">
        <f t="shared" si="3"/>
        <v>4814.9406499598963</v>
      </c>
      <c r="P17" s="260">
        <f t="shared" si="17"/>
        <v>144444.8812999198</v>
      </c>
      <c r="Q17" s="169">
        <f t="shared" si="4"/>
        <v>89.753888213616023</v>
      </c>
      <c r="R17" s="169">
        <f t="shared" si="22"/>
        <v>0</v>
      </c>
      <c r="S17" s="368" t="str">
        <f t="shared" si="12"/>
        <v/>
      </c>
      <c r="T17" s="169"/>
      <c r="U17" s="169"/>
      <c r="V17" s="170" t="str">
        <f t="shared" si="18"/>
        <v/>
      </c>
      <c r="W17" s="170" t="str">
        <f t="shared" si="19"/>
        <v/>
      </c>
      <c r="X17" s="259">
        <f t="shared" si="23"/>
        <v>0</v>
      </c>
      <c r="Y17" s="259">
        <f t="shared" si="23"/>
        <v>0</v>
      </c>
      <c r="Z17" s="259">
        <f t="shared" si="23"/>
        <v>0</v>
      </c>
      <c r="AA17" s="348">
        <f t="shared" si="8"/>
        <v>0</v>
      </c>
      <c r="AB17" s="274">
        <f t="shared" si="13"/>
        <v>0</v>
      </c>
      <c r="AC17" s="100"/>
      <c r="AD17" s="97"/>
      <c r="AE17" s="97"/>
      <c r="AF17" s="97"/>
    </row>
    <row r="18" spans="1:32">
      <c r="A18" s="1"/>
      <c r="B18" s="5">
        <f t="shared" si="15"/>
        <v>43350</v>
      </c>
      <c r="C18" s="38">
        <f t="shared" si="20"/>
        <v>43350</v>
      </c>
      <c r="D18" s="7">
        <f t="shared" ca="1" si="1"/>
        <v>-212</v>
      </c>
      <c r="E18" s="114" t="s">
        <v>5</v>
      </c>
      <c r="F18" s="55"/>
      <c r="G18" s="56"/>
      <c r="H18" s="56"/>
      <c r="I18" s="200"/>
      <c r="J18" s="56"/>
      <c r="K18" s="201" t="str">
        <f t="shared" si="24"/>
        <v/>
      </c>
      <c r="L18" s="56"/>
      <c r="M18" s="56" t="str">
        <f t="shared" si="21"/>
        <v/>
      </c>
      <c r="N18" s="324"/>
      <c r="O18" s="259">
        <f t="shared" si="3"/>
        <v>4814.9406499598963</v>
      </c>
      <c r="P18" s="260">
        <f t="shared" si="17"/>
        <v>144444.8812999198</v>
      </c>
      <c r="Q18" s="169">
        <f t="shared" si="4"/>
        <v>89.753888213616023</v>
      </c>
      <c r="R18" s="169">
        <f t="shared" si="22"/>
        <v>0</v>
      </c>
      <c r="S18" s="368" t="str">
        <f t="shared" si="12"/>
        <v/>
      </c>
      <c r="T18" s="169"/>
      <c r="U18" s="169"/>
      <c r="V18" s="170" t="str">
        <f t="shared" si="18"/>
        <v/>
      </c>
      <c r="W18" s="170" t="str">
        <f t="shared" si="19"/>
        <v/>
      </c>
      <c r="X18" s="259">
        <f t="shared" si="23"/>
        <v>0</v>
      </c>
      <c r="Y18" s="259">
        <f t="shared" si="23"/>
        <v>0</v>
      </c>
      <c r="Z18" s="259">
        <f t="shared" si="23"/>
        <v>0</v>
      </c>
      <c r="AA18" s="348">
        <f t="shared" si="8"/>
        <v>0</v>
      </c>
      <c r="AB18" s="274">
        <f t="shared" si="13"/>
        <v>0</v>
      </c>
      <c r="AC18" s="100"/>
      <c r="AD18" s="97"/>
      <c r="AE18" s="97"/>
      <c r="AF18" s="97"/>
    </row>
    <row r="19" spans="1:32">
      <c r="A19" s="1"/>
      <c r="B19" s="5">
        <f t="shared" si="15"/>
        <v>43351</v>
      </c>
      <c r="C19" s="38">
        <f t="shared" si="20"/>
        <v>43351</v>
      </c>
      <c r="D19" s="7">
        <f t="shared" ca="1" si="1"/>
        <v>-213</v>
      </c>
      <c r="E19" s="114" t="s">
        <v>6</v>
      </c>
      <c r="F19" s="55"/>
      <c r="G19" s="56"/>
      <c r="H19" s="56"/>
      <c r="I19" s="200"/>
      <c r="J19" s="56"/>
      <c r="K19" s="201" t="str">
        <f t="shared" si="24"/>
        <v/>
      </c>
      <c r="L19" s="56"/>
      <c r="M19" s="56" t="str">
        <f t="shared" si="21"/>
        <v/>
      </c>
      <c r="N19" s="324"/>
      <c r="O19" s="259">
        <f t="shared" si="3"/>
        <v>4814.9406499598963</v>
      </c>
      <c r="P19" s="260">
        <f t="shared" si="17"/>
        <v>144444.8812999198</v>
      </c>
      <c r="Q19" s="169">
        <f t="shared" si="4"/>
        <v>89.753888213616023</v>
      </c>
      <c r="R19" s="169">
        <f t="shared" si="22"/>
        <v>0</v>
      </c>
      <c r="S19" s="368" t="str">
        <f t="shared" si="12"/>
        <v/>
      </c>
      <c r="T19" s="169"/>
      <c r="U19" s="169"/>
      <c r="V19" s="170" t="str">
        <f t="shared" si="18"/>
        <v/>
      </c>
      <c r="W19" s="170" t="str">
        <f t="shared" si="19"/>
        <v/>
      </c>
      <c r="X19" s="259">
        <f t="shared" si="23"/>
        <v>0</v>
      </c>
      <c r="Y19" s="259">
        <f t="shared" si="23"/>
        <v>0</v>
      </c>
      <c r="Z19" s="259">
        <f t="shared" si="23"/>
        <v>0</v>
      </c>
      <c r="AA19" s="348">
        <f t="shared" si="8"/>
        <v>0</v>
      </c>
      <c r="AB19" s="274">
        <f t="shared" si="13"/>
        <v>0</v>
      </c>
      <c r="AC19" s="100"/>
      <c r="AD19" s="97"/>
      <c r="AE19" s="97"/>
      <c r="AF19" s="97"/>
    </row>
    <row r="20" spans="1:32" ht="16" thickBot="1">
      <c r="A20" s="1"/>
      <c r="B20" s="53">
        <f t="shared" si="15"/>
        <v>43352</v>
      </c>
      <c r="C20" s="41">
        <f t="shared" si="20"/>
        <v>43352</v>
      </c>
      <c r="D20" s="54">
        <f t="shared" ca="1" si="1"/>
        <v>-214</v>
      </c>
      <c r="E20" s="117" t="s">
        <v>7</v>
      </c>
      <c r="F20" s="55"/>
      <c r="G20" s="56"/>
      <c r="H20" s="56"/>
      <c r="I20" s="200"/>
      <c r="J20" s="56"/>
      <c r="K20" s="201" t="str">
        <f t="shared" si="24"/>
        <v/>
      </c>
      <c r="L20" s="56"/>
      <c r="M20" s="56" t="str">
        <f t="shared" si="21"/>
        <v/>
      </c>
      <c r="N20" s="329"/>
      <c r="O20" s="259">
        <f t="shared" si="3"/>
        <v>4814.9406499598963</v>
      </c>
      <c r="P20" s="260">
        <f t="shared" si="17"/>
        <v>144444.8812999198</v>
      </c>
      <c r="Q20" s="169">
        <f t="shared" si="4"/>
        <v>89.753888213616023</v>
      </c>
      <c r="R20" s="169">
        <f t="shared" si="22"/>
        <v>0</v>
      </c>
      <c r="S20" s="368" t="str">
        <f t="shared" si="12"/>
        <v/>
      </c>
      <c r="T20" s="169"/>
      <c r="U20" s="169"/>
      <c r="V20" s="170" t="str">
        <f t="shared" si="18"/>
        <v/>
      </c>
      <c r="W20" s="170" t="str">
        <f t="shared" si="19"/>
        <v/>
      </c>
      <c r="X20" s="259">
        <f t="shared" si="23"/>
        <v>0</v>
      </c>
      <c r="Y20" s="259">
        <f t="shared" si="23"/>
        <v>0</v>
      </c>
      <c r="Z20" s="259">
        <f t="shared" si="23"/>
        <v>0</v>
      </c>
      <c r="AA20" s="348">
        <f t="shared" si="8"/>
        <v>0</v>
      </c>
      <c r="AB20" s="274">
        <f t="shared" si="13"/>
        <v>0</v>
      </c>
      <c r="AC20" s="100"/>
      <c r="AD20" s="97"/>
      <c r="AE20" s="97"/>
      <c r="AF20" s="97"/>
    </row>
    <row r="21" spans="1:32" ht="16" thickTop="1">
      <c r="A21" s="29"/>
      <c r="B21" s="16"/>
      <c r="C21" s="42"/>
      <c r="D21" s="60">
        <f ca="1">TODAY()-C21</f>
        <v>43138</v>
      </c>
      <c r="E21" s="113" t="s">
        <v>76</v>
      </c>
      <c r="F21" s="59">
        <f ca="1">G21*0.000568181818</f>
        <v>-1.2427401132386871E-58</v>
      </c>
      <c r="G21" s="19">
        <f ca="1">H21*1.0936113</f>
        <v>-2.1872226000000002E-55</v>
      </c>
      <c r="H21" s="129">
        <f ca="1">IF(TODAY()&gt;=B14,(AA20-AA11)*1000,-2E-55)</f>
        <v>-2E-55</v>
      </c>
      <c r="I21" s="152"/>
      <c r="J21" s="447" t="str">
        <f>IF(R21=0,"",#REF!)</f>
        <v/>
      </c>
      <c r="K21" s="448"/>
      <c r="L21" s="448"/>
      <c r="M21" s="448"/>
      <c r="N21" s="448"/>
      <c r="O21" s="259" t="str">
        <f t="shared" si="3"/>
        <v/>
      </c>
      <c r="P21" s="260"/>
      <c r="Q21" s="169">
        <f t="shared" si="4"/>
        <v>0</v>
      </c>
      <c r="R21" s="350"/>
      <c r="S21" s="368" t="str">
        <f t="shared" si="12"/>
        <v/>
      </c>
      <c r="T21" s="350"/>
      <c r="U21" s="350"/>
      <c r="V21" s="350"/>
      <c r="W21" s="350"/>
      <c r="X21" s="234"/>
      <c r="Y21" s="234"/>
      <c r="Z21" s="234"/>
      <c r="AA21" s="348">
        <f t="shared" si="8"/>
        <v>0</v>
      </c>
      <c r="AB21" s="274">
        <f t="shared" si="13"/>
        <v>0</v>
      </c>
      <c r="AC21" s="100"/>
      <c r="AD21" s="97"/>
      <c r="AE21" s="97"/>
      <c r="AF21" s="97"/>
    </row>
    <row r="22" spans="1:32" ht="16" thickBot="1">
      <c r="A22" s="28"/>
      <c r="B22" s="17"/>
      <c r="C22" s="39"/>
      <c r="D22" s="61">
        <f ca="1">TODAY()-C22</f>
        <v>43138</v>
      </c>
      <c r="E22" s="116" t="s">
        <v>33</v>
      </c>
      <c r="F22" s="62">
        <f>G22*0.0005681818</f>
        <v>20.942655724834999</v>
      </c>
      <c r="G22" s="63">
        <f>H22*1.0936113</f>
        <v>36859.075255200005</v>
      </c>
      <c r="H22" s="131">
        <f>INT(SUM($O14:$O20))</f>
        <v>33704</v>
      </c>
      <c r="I22" s="153"/>
      <c r="J22" s="449"/>
      <c r="K22" s="451"/>
      <c r="L22" s="451"/>
      <c r="M22" s="451"/>
      <c r="N22" s="451"/>
      <c r="O22" s="259" t="str">
        <f t="shared" si="3"/>
        <v/>
      </c>
      <c r="P22" s="260"/>
      <c r="Q22" s="169">
        <f t="shared" si="4"/>
        <v>0</v>
      </c>
      <c r="R22" s="351"/>
      <c r="S22" s="368" t="str">
        <f t="shared" si="12"/>
        <v/>
      </c>
      <c r="T22" s="351"/>
      <c r="U22" s="351"/>
      <c r="V22" s="351"/>
      <c r="W22" s="351"/>
      <c r="X22" s="234"/>
      <c r="Y22" s="234"/>
      <c r="Z22" s="234"/>
      <c r="AA22" s="348">
        <f t="shared" si="8"/>
        <v>0</v>
      </c>
      <c r="AB22" s="274">
        <f t="shared" si="13"/>
        <v>0</v>
      </c>
      <c r="AC22" s="100"/>
      <c r="AD22" s="97"/>
      <c r="AE22" s="97"/>
      <c r="AF22" s="97"/>
    </row>
    <row r="23" spans="1:32" ht="16" thickTop="1">
      <c r="A23" s="1" t="s">
        <v>10</v>
      </c>
      <c r="B23" s="57">
        <f t="shared" ref="B23:B29" si="25">IF(B$2&gt;C23,0,C23)</f>
        <v>43353</v>
      </c>
      <c r="C23" s="40">
        <f>C20+1</f>
        <v>43353</v>
      </c>
      <c r="D23" s="22">
        <f t="shared" ca="1" si="1"/>
        <v>-215</v>
      </c>
      <c r="E23" s="118" t="s">
        <v>1</v>
      </c>
      <c r="F23" s="55"/>
      <c r="G23" s="56"/>
      <c r="H23" s="56"/>
      <c r="I23" s="200"/>
      <c r="J23" s="128"/>
      <c r="K23" s="201" t="str">
        <f t="shared" ref="K23" si="26">IF(R23=0,"",IF(L23="","",J23))</f>
        <v/>
      </c>
      <c r="L23" s="128"/>
      <c r="M23" s="56" t="str">
        <f>IF(R23=0,"",IF(J23="","",L23))</f>
        <v/>
      </c>
      <c r="N23" s="330"/>
      <c r="O23" s="259">
        <f t="shared" si="3"/>
        <v>4814.9406499598963</v>
      </c>
      <c r="P23" s="260">
        <f t="shared" ref="P23:P29" si="27">H$56</f>
        <v>144444.8812999198</v>
      </c>
      <c r="Q23" s="169">
        <f t="shared" si="4"/>
        <v>89.753888213616023</v>
      </c>
      <c r="R23" s="169">
        <f>IF(R$2=3,H23+G23/1.0936133+F23/0.0006213712,IF(R$2=2,H23*1.0936133+G23+F23/0.0005681818,IF(R$2=1,H23*0.0005681818*1.0936133+G23*0.0005681818+F23,"")))</f>
        <v>0</v>
      </c>
      <c r="S23" s="368" t="str">
        <f t="shared" si="12"/>
        <v/>
      </c>
      <c r="T23" s="169"/>
      <c r="U23" s="169"/>
      <c r="V23" s="170" t="str">
        <f t="shared" ref="V23:V29" si="28">IF(L23="","",IF(R23=0,"",IF(B23=0,"",IF($R$2=3,R23/L23*60/1000,IF($R$2=2,R23/L23*60/1760,IF($R$2=1,R23/L23*60,""))))))</f>
        <v/>
      </c>
      <c r="W23" s="170" t="str">
        <f t="shared" ref="W23:W29" si="29">IF(R23=0,"",IF(L23="","",V23*L23))</f>
        <v/>
      </c>
      <c r="X23" s="259">
        <f>F23+X20</f>
        <v>0</v>
      </c>
      <c r="Y23" s="259">
        <f>G23+Y20</f>
        <v>0</v>
      </c>
      <c r="Z23" s="259">
        <f>H23+Z20</f>
        <v>0</v>
      </c>
      <c r="AA23" s="348">
        <f t="shared" si="8"/>
        <v>0</v>
      </c>
      <c r="AB23" s="274">
        <f t="shared" si="13"/>
        <v>0</v>
      </c>
      <c r="AC23" s="100"/>
      <c r="AD23" s="97"/>
      <c r="AE23" s="97"/>
      <c r="AF23" s="97"/>
    </row>
    <row r="24" spans="1:32">
      <c r="A24" s="1"/>
      <c r="B24" s="5">
        <f t="shared" si="25"/>
        <v>43354</v>
      </c>
      <c r="C24" s="38">
        <f t="shared" ref="C24:C29" si="30">C23+1</f>
        <v>43354</v>
      </c>
      <c r="D24" s="7">
        <f t="shared" ca="1" si="1"/>
        <v>-216</v>
      </c>
      <c r="E24" s="114" t="s">
        <v>2</v>
      </c>
      <c r="F24" s="55"/>
      <c r="G24" s="56"/>
      <c r="H24" s="56"/>
      <c r="I24" s="200"/>
      <c r="J24" s="56"/>
      <c r="K24" s="201" t="str">
        <f>IF(R24=0,"",IF(L24="","",J24))</f>
        <v/>
      </c>
      <c r="L24" s="56"/>
      <c r="M24" s="56" t="str">
        <f t="shared" ref="M24:M29" si="31">IF(R24=0,"",IF(J24="","",L24))</f>
        <v/>
      </c>
      <c r="N24" s="324"/>
      <c r="O24" s="259">
        <f t="shared" si="3"/>
        <v>4814.9406499598963</v>
      </c>
      <c r="P24" s="260">
        <f t="shared" si="27"/>
        <v>144444.8812999198</v>
      </c>
      <c r="Q24" s="169">
        <f t="shared" si="4"/>
        <v>89.753888213616023</v>
      </c>
      <c r="R24" s="169">
        <f t="shared" ref="R24:R29" si="32">IF(R$2=3,H24+G24/1.0936133+F24/0.0006213712,IF(R$2=2,H24*1.0936133+G24+F24/0.0005681818,IF(R$2=1,H24*0.0005681818*1.0936133+G24*0.0005681818+F24,"")))</f>
        <v>0</v>
      </c>
      <c r="S24" s="368" t="str">
        <f t="shared" si="12"/>
        <v/>
      </c>
      <c r="T24" s="169"/>
      <c r="U24" s="169"/>
      <c r="V24" s="170" t="str">
        <f t="shared" si="28"/>
        <v/>
      </c>
      <c r="W24" s="170" t="str">
        <f t="shared" si="29"/>
        <v/>
      </c>
      <c r="X24" s="259">
        <f t="shared" ref="X24:Z29" si="33">F24+X23</f>
        <v>0</v>
      </c>
      <c r="Y24" s="259">
        <f t="shared" si="33"/>
        <v>0</v>
      </c>
      <c r="Z24" s="259">
        <f t="shared" si="33"/>
        <v>0</v>
      </c>
      <c r="AA24" s="348">
        <f t="shared" si="8"/>
        <v>0</v>
      </c>
      <c r="AB24" s="274">
        <f t="shared" si="13"/>
        <v>0</v>
      </c>
      <c r="AC24" s="100"/>
      <c r="AD24" s="97"/>
      <c r="AE24" s="97"/>
      <c r="AF24" s="97"/>
    </row>
    <row r="25" spans="1:32">
      <c r="A25" s="1"/>
      <c r="B25" s="5">
        <f t="shared" si="25"/>
        <v>43355</v>
      </c>
      <c r="C25" s="38">
        <f t="shared" si="30"/>
        <v>43355</v>
      </c>
      <c r="D25" s="7">
        <f t="shared" ca="1" si="1"/>
        <v>-217</v>
      </c>
      <c r="E25" s="114" t="s">
        <v>3</v>
      </c>
      <c r="F25" s="55"/>
      <c r="G25" s="56"/>
      <c r="H25" s="56"/>
      <c r="I25" s="200"/>
      <c r="J25" s="56"/>
      <c r="K25" s="201" t="str">
        <f t="shared" ref="K25:K29" si="34">IF(R25=0,"",IF(L25="","",J25))</f>
        <v/>
      </c>
      <c r="L25" s="56"/>
      <c r="M25" s="56" t="str">
        <f t="shared" si="31"/>
        <v/>
      </c>
      <c r="N25" s="324"/>
      <c r="O25" s="259">
        <f t="shared" si="3"/>
        <v>4814.9406499598963</v>
      </c>
      <c r="P25" s="260">
        <f t="shared" si="27"/>
        <v>144444.8812999198</v>
      </c>
      <c r="Q25" s="169">
        <f t="shared" si="4"/>
        <v>89.753888213616023</v>
      </c>
      <c r="R25" s="169">
        <f t="shared" si="32"/>
        <v>0</v>
      </c>
      <c r="S25" s="368" t="str">
        <f t="shared" si="12"/>
        <v/>
      </c>
      <c r="T25" s="169"/>
      <c r="U25" s="169"/>
      <c r="V25" s="170" t="str">
        <f t="shared" si="28"/>
        <v/>
      </c>
      <c r="W25" s="170" t="str">
        <f t="shared" si="29"/>
        <v/>
      </c>
      <c r="X25" s="259">
        <f t="shared" si="33"/>
        <v>0</v>
      </c>
      <c r="Y25" s="259">
        <f t="shared" si="33"/>
        <v>0</v>
      </c>
      <c r="Z25" s="259">
        <f t="shared" si="33"/>
        <v>0</v>
      </c>
      <c r="AA25" s="348">
        <f t="shared" si="8"/>
        <v>0</v>
      </c>
      <c r="AB25" s="274">
        <f t="shared" si="13"/>
        <v>0</v>
      </c>
      <c r="AC25" s="100"/>
      <c r="AD25" s="97"/>
      <c r="AE25" s="97"/>
      <c r="AF25" s="97"/>
    </row>
    <row r="26" spans="1:32">
      <c r="A26" s="1"/>
      <c r="B26" s="5">
        <f t="shared" si="25"/>
        <v>43356</v>
      </c>
      <c r="C26" s="38">
        <f t="shared" si="30"/>
        <v>43356</v>
      </c>
      <c r="D26" s="7">
        <f t="shared" ca="1" si="1"/>
        <v>-218</v>
      </c>
      <c r="E26" s="114" t="s">
        <v>4</v>
      </c>
      <c r="F26" s="55"/>
      <c r="G26" s="56"/>
      <c r="H26" s="56"/>
      <c r="I26" s="200"/>
      <c r="J26" s="56"/>
      <c r="K26" s="201" t="str">
        <f t="shared" si="34"/>
        <v/>
      </c>
      <c r="L26" s="56"/>
      <c r="M26" s="56" t="str">
        <f t="shared" si="31"/>
        <v/>
      </c>
      <c r="N26" s="324"/>
      <c r="O26" s="259">
        <f t="shared" si="3"/>
        <v>4814.9406499598963</v>
      </c>
      <c r="P26" s="260">
        <f t="shared" si="27"/>
        <v>144444.8812999198</v>
      </c>
      <c r="Q26" s="169">
        <f t="shared" si="4"/>
        <v>89.753888213616023</v>
      </c>
      <c r="R26" s="169">
        <f t="shared" si="32"/>
        <v>0</v>
      </c>
      <c r="S26" s="368" t="str">
        <f t="shared" si="12"/>
        <v/>
      </c>
      <c r="T26" s="169"/>
      <c r="U26" s="169"/>
      <c r="V26" s="170" t="str">
        <f t="shared" si="28"/>
        <v/>
      </c>
      <c r="W26" s="170" t="str">
        <f t="shared" si="29"/>
        <v/>
      </c>
      <c r="X26" s="259">
        <f t="shared" si="33"/>
        <v>0</v>
      </c>
      <c r="Y26" s="259">
        <f t="shared" si="33"/>
        <v>0</v>
      </c>
      <c r="Z26" s="259">
        <f t="shared" si="33"/>
        <v>0</v>
      </c>
      <c r="AA26" s="348">
        <f t="shared" si="8"/>
        <v>0</v>
      </c>
      <c r="AB26" s="274">
        <f t="shared" si="13"/>
        <v>0</v>
      </c>
      <c r="AC26" s="100"/>
      <c r="AD26" s="97"/>
      <c r="AE26" s="97"/>
      <c r="AF26" s="97"/>
    </row>
    <row r="27" spans="1:32">
      <c r="A27" s="1"/>
      <c r="B27" s="5">
        <f t="shared" si="25"/>
        <v>43357</v>
      </c>
      <c r="C27" s="38">
        <f t="shared" si="30"/>
        <v>43357</v>
      </c>
      <c r="D27" s="7">
        <f t="shared" ca="1" si="1"/>
        <v>-219</v>
      </c>
      <c r="E27" s="114" t="s">
        <v>5</v>
      </c>
      <c r="F27" s="55"/>
      <c r="G27" s="56"/>
      <c r="H27" s="56"/>
      <c r="I27" s="200"/>
      <c r="J27" s="56"/>
      <c r="K27" s="201" t="str">
        <f t="shared" si="34"/>
        <v/>
      </c>
      <c r="L27" s="56"/>
      <c r="M27" s="56" t="str">
        <f t="shared" si="31"/>
        <v/>
      </c>
      <c r="N27" s="324"/>
      <c r="O27" s="259">
        <f t="shared" si="3"/>
        <v>4814.9406499598963</v>
      </c>
      <c r="P27" s="260">
        <f t="shared" si="27"/>
        <v>144444.8812999198</v>
      </c>
      <c r="Q27" s="169">
        <f t="shared" si="4"/>
        <v>89.753888213616023</v>
      </c>
      <c r="R27" s="169">
        <f t="shared" si="32"/>
        <v>0</v>
      </c>
      <c r="S27" s="368" t="str">
        <f t="shared" si="12"/>
        <v/>
      </c>
      <c r="T27" s="169"/>
      <c r="U27" s="169"/>
      <c r="V27" s="170" t="str">
        <f t="shared" si="28"/>
        <v/>
      </c>
      <c r="W27" s="170" t="str">
        <f t="shared" si="29"/>
        <v/>
      </c>
      <c r="X27" s="259">
        <f t="shared" si="33"/>
        <v>0</v>
      </c>
      <c r="Y27" s="259">
        <f t="shared" si="33"/>
        <v>0</v>
      </c>
      <c r="Z27" s="259">
        <f t="shared" si="33"/>
        <v>0</v>
      </c>
      <c r="AA27" s="348">
        <f t="shared" si="8"/>
        <v>0</v>
      </c>
      <c r="AB27" s="274">
        <f t="shared" si="13"/>
        <v>0</v>
      </c>
      <c r="AC27" s="100"/>
      <c r="AD27" s="97"/>
      <c r="AE27" s="97"/>
      <c r="AF27" s="97"/>
    </row>
    <row r="28" spans="1:32">
      <c r="A28" s="1"/>
      <c r="B28" s="5">
        <f t="shared" si="25"/>
        <v>43358</v>
      </c>
      <c r="C28" s="38">
        <f t="shared" si="30"/>
        <v>43358</v>
      </c>
      <c r="D28" s="7">
        <f t="shared" ca="1" si="1"/>
        <v>-220</v>
      </c>
      <c r="E28" s="114" t="s">
        <v>6</v>
      </c>
      <c r="F28" s="55"/>
      <c r="G28" s="56"/>
      <c r="H28" s="56"/>
      <c r="I28" s="200"/>
      <c r="J28" s="56"/>
      <c r="K28" s="201" t="str">
        <f t="shared" si="34"/>
        <v/>
      </c>
      <c r="L28" s="56"/>
      <c r="M28" s="56" t="str">
        <f t="shared" si="31"/>
        <v/>
      </c>
      <c r="N28" s="324"/>
      <c r="O28" s="259">
        <f t="shared" si="3"/>
        <v>4814.9406499598963</v>
      </c>
      <c r="P28" s="260">
        <f t="shared" si="27"/>
        <v>144444.8812999198</v>
      </c>
      <c r="Q28" s="169">
        <f t="shared" si="4"/>
        <v>89.753888213616023</v>
      </c>
      <c r="R28" s="169">
        <f t="shared" si="32"/>
        <v>0</v>
      </c>
      <c r="S28" s="368" t="str">
        <f t="shared" si="12"/>
        <v/>
      </c>
      <c r="T28" s="169"/>
      <c r="U28" s="169"/>
      <c r="V28" s="170" t="str">
        <f t="shared" si="28"/>
        <v/>
      </c>
      <c r="W28" s="170" t="str">
        <f t="shared" si="29"/>
        <v/>
      </c>
      <c r="X28" s="259">
        <f t="shared" si="33"/>
        <v>0</v>
      </c>
      <c r="Y28" s="259">
        <f t="shared" si="33"/>
        <v>0</v>
      </c>
      <c r="Z28" s="259">
        <f t="shared" si="33"/>
        <v>0</v>
      </c>
      <c r="AA28" s="348">
        <f t="shared" si="8"/>
        <v>0</v>
      </c>
      <c r="AB28" s="274">
        <f t="shared" si="13"/>
        <v>0</v>
      </c>
      <c r="AC28" s="100"/>
      <c r="AD28" s="97"/>
      <c r="AE28" s="97"/>
      <c r="AF28" s="97"/>
    </row>
    <row r="29" spans="1:32" ht="16" thickBot="1">
      <c r="A29" s="1"/>
      <c r="B29" s="53">
        <f t="shared" si="25"/>
        <v>43359</v>
      </c>
      <c r="C29" s="41">
        <f t="shared" si="30"/>
        <v>43359</v>
      </c>
      <c r="D29" s="54">
        <f t="shared" ca="1" si="1"/>
        <v>-221</v>
      </c>
      <c r="E29" s="117" t="s">
        <v>7</v>
      </c>
      <c r="F29" s="55"/>
      <c r="G29" s="56"/>
      <c r="H29" s="56"/>
      <c r="I29" s="200"/>
      <c r="J29" s="56"/>
      <c r="K29" s="201" t="str">
        <f t="shared" si="34"/>
        <v/>
      </c>
      <c r="L29" s="56"/>
      <c r="M29" s="56" t="str">
        <f t="shared" si="31"/>
        <v/>
      </c>
      <c r="N29" s="329"/>
      <c r="O29" s="259">
        <f t="shared" si="3"/>
        <v>4814.9406499598963</v>
      </c>
      <c r="P29" s="260">
        <f t="shared" si="27"/>
        <v>144444.8812999198</v>
      </c>
      <c r="Q29" s="169">
        <f t="shared" si="4"/>
        <v>89.753888213616023</v>
      </c>
      <c r="R29" s="169">
        <f t="shared" si="32"/>
        <v>0</v>
      </c>
      <c r="S29" s="368" t="str">
        <f t="shared" si="12"/>
        <v/>
      </c>
      <c r="T29" s="169"/>
      <c r="U29" s="169"/>
      <c r="V29" s="170" t="str">
        <f t="shared" si="28"/>
        <v/>
      </c>
      <c r="W29" s="170" t="str">
        <f t="shared" si="29"/>
        <v/>
      </c>
      <c r="X29" s="259">
        <f t="shared" si="33"/>
        <v>0</v>
      </c>
      <c r="Y29" s="259">
        <f t="shared" si="33"/>
        <v>0</v>
      </c>
      <c r="Z29" s="259">
        <f t="shared" si="33"/>
        <v>0</v>
      </c>
      <c r="AA29" s="348">
        <f t="shared" si="8"/>
        <v>0</v>
      </c>
      <c r="AB29" s="274">
        <f t="shared" si="13"/>
        <v>0</v>
      </c>
      <c r="AC29" s="100"/>
      <c r="AD29" s="97"/>
      <c r="AE29" s="97"/>
      <c r="AF29" s="97"/>
    </row>
    <row r="30" spans="1:32" ht="16" thickTop="1">
      <c r="A30" s="29"/>
      <c r="B30" s="16"/>
      <c r="C30" s="42"/>
      <c r="D30" s="60">
        <f ca="1">TODAY()-C30</f>
        <v>43138</v>
      </c>
      <c r="E30" s="113" t="s">
        <v>76</v>
      </c>
      <c r="F30" s="59">
        <f ca="1">G30*0.000568181818</f>
        <v>-1.2427401132386871E-58</v>
      </c>
      <c r="G30" s="19">
        <f ca="1">H30*1.0936113</f>
        <v>-2.1872226000000002E-55</v>
      </c>
      <c r="H30" s="129">
        <f ca="1">IF(TODAY()&gt;=B23,(AA29-AA20)*1000,-2E-55)</f>
        <v>-2E-55</v>
      </c>
      <c r="I30" s="152"/>
      <c r="J30" s="424" t="s">
        <v>121</v>
      </c>
      <c r="K30" s="452"/>
      <c r="L30" s="452"/>
      <c r="M30" s="453"/>
      <c r="N30" s="453"/>
      <c r="O30" s="259" t="str">
        <f t="shared" si="3"/>
        <v/>
      </c>
      <c r="P30" s="260"/>
      <c r="Q30" s="169">
        <f t="shared" si="4"/>
        <v>0</v>
      </c>
      <c r="R30" s="350"/>
      <c r="S30" s="368" t="str">
        <f t="shared" si="12"/>
        <v/>
      </c>
      <c r="T30" s="350"/>
      <c r="U30" s="350"/>
      <c r="V30" s="350"/>
      <c r="W30" s="350"/>
      <c r="X30" s="234"/>
      <c r="Y30" s="234"/>
      <c r="Z30" s="234"/>
      <c r="AA30" s="348">
        <f t="shared" si="8"/>
        <v>0</v>
      </c>
      <c r="AB30" s="274">
        <f t="shared" si="13"/>
        <v>0</v>
      </c>
      <c r="AC30" s="100"/>
      <c r="AD30" s="97"/>
      <c r="AE30" s="97"/>
      <c r="AF30" s="97"/>
    </row>
    <row r="31" spans="1:32" ht="19" thickBot="1">
      <c r="A31" s="28"/>
      <c r="B31" s="17"/>
      <c r="C31" s="39"/>
      <c r="D31" s="61">
        <f ca="1">TODAY()-C31</f>
        <v>43138</v>
      </c>
      <c r="E31" s="116" t="s">
        <v>33</v>
      </c>
      <c r="F31" s="62">
        <f>G31*0.0005681818</f>
        <v>20.942655724834999</v>
      </c>
      <c r="G31" s="63">
        <f>H31*1.0936113</f>
        <v>36859.075255200005</v>
      </c>
      <c r="H31" s="131">
        <f>INT(SUM($O23:$O29))</f>
        <v>33704</v>
      </c>
      <c r="I31" s="153"/>
      <c r="J31" s="426" t="str">
        <f>IF(R$2=1,"mph",IF(R$2=2,"mph",IF(R$2=3," km/h","????")))</f>
        <v>mph</v>
      </c>
      <c r="K31" s="454"/>
      <c r="L31" s="454"/>
      <c r="M31" s="455"/>
      <c r="N31" s="455"/>
      <c r="O31" s="259" t="str">
        <f t="shared" si="3"/>
        <v/>
      </c>
      <c r="P31" s="260"/>
      <c r="Q31" s="169">
        <f t="shared" si="4"/>
        <v>0</v>
      </c>
      <c r="R31" s="351"/>
      <c r="S31" s="368" t="str">
        <f t="shared" si="12"/>
        <v/>
      </c>
      <c r="T31" s="351"/>
      <c r="U31" s="351"/>
      <c r="V31" s="351"/>
      <c r="W31" s="351"/>
      <c r="X31" s="234"/>
      <c r="Y31" s="234"/>
      <c r="Z31" s="234"/>
      <c r="AA31" s="348">
        <f t="shared" si="8"/>
        <v>0</v>
      </c>
      <c r="AB31" s="274">
        <f t="shared" si="13"/>
        <v>0</v>
      </c>
      <c r="AC31" s="100"/>
      <c r="AD31" s="97"/>
      <c r="AE31" s="97"/>
      <c r="AF31" s="97"/>
    </row>
    <row r="32" spans="1:32" ht="16" thickTop="1">
      <c r="A32" s="1" t="s">
        <v>11</v>
      </c>
      <c r="B32" s="57">
        <f t="shared" ref="B32:B38" si="35">IF(B$2&gt;C32,0,C32)</f>
        <v>43360</v>
      </c>
      <c r="C32" s="40">
        <f>C29+1</f>
        <v>43360</v>
      </c>
      <c r="D32" s="22">
        <f t="shared" ca="1" si="1"/>
        <v>-222</v>
      </c>
      <c r="E32" s="118" t="s">
        <v>1</v>
      </c>
      <c r="F32" s="55"/>
      <c r="G32" s="56"/>
      <c r="H32" s="56"/>
      <c r="I32" s="200"/>
      <c r="J32" s="128"/>
      <c r="K32" s="201" t="str">
        <f t="shared" ref="K32" si="36">IF(R32=0,"",IF(L32="","",J32))</f>
        <v/>
      </c>
      <c r="L32" s="154"/>
      <c r="M32" s="56" t="str">
        <f>IF(R32=0,"",IF(J32="","",L32))</f>
        <v/>
      </c>
      <c r="N32" s="330"/>
      <c r="O32" s="259">
        <f t="shared" si="3"/>
        <v>4814.9406499598963</v>
      </c>
      <c r="P32" s="260">
        <f t="shared" ref="P32:P38" si="37">H$56</f>
        <v>144444.8812999198</v>
      </c>
      <c r="Q32" s="169">
        <f t="shared" si="4"/>
        <v>89.753888213616023</v>
      </c>
      <c r="R32" s="169">
        <f>IF(R$2=3,H32+G32/1.0936133+F32/0.0006213712,IF(R$2=2,H32*1.0936133+G32+F32/0.0005681818,IF(R$2=1,H32*0.0005681818*1.0936133+G32*0.0005681818+F32,"")))</f>
        <v>0</v>
      </c>
      <c r="S32" s="368" t="str">
        <f t="shared" si="12"/>
        <v/>
      </c>
      <c r="T32" s="169"/>
      <c r="U32" s="169"/>
      <c r="V32" s="170" t="str">
        <f t="shared" ref="V32:V38" si="38">IF(L32="","",IF(R32=0,"",IF(B32=0,"",IF($R$2=3,R32/L32*60/1000,IF($R$2=2,R32/L32*60/1760,IF($R$2=1,R32/L32*60,""))))))</f>
        <v/>
      </c>
      <c r="W32" s="170" t="str">
        <f t="shared" ref="W32:W38" si="39">IF(R32=0,"",IF(L32="","",V32*L32))</f>
        <v/>
      </c>
      <c r="X32" s="259">
        <f>F32+X29</f>
        <v>0</v>
      </c>
      <c r="Y32" s="259">
        <f>G32+Y29</f>
        <v>0</v>
      </c>
      <c r="Z32" s="259">
        <f>H32+Z29</f>
        <v>0</v>
      </c>
      <c r="AA32" s="348">
        <f t="shared" si="8"/>
        <v>0</v>
      </c>
      <c r="AB32" s="274">
        <f t="shared" si="13"/>
        <v>0</v>
      </c>
      <c r="AC32" s="100"/>
      <c r="AD32" s="97"/>
      <c r="AE32" s="97"/>
      <c r="AF32" s="97"/>
    </row>
    <row r="33" spans="1:32">
      <c r="A33" s="1"/>
      <c r="B33" s="5">
        <f t="shared" si="35"/>
        <v>43361</v>
      </c>
      <c r="C33" s="38">
        <f t="shared" ref="C33:C38" si="40">C32+1</f>
        <v>43361</v>
      </c>
      <c r="D33" s="7">
        <f t="shared" ca="1" si="1"/>
        <v>-223</v>
      </c>
      <c r="E33" s="114" t="s">
        <v>2</v>
      </c>
      <c r="F33" s="55"/>
      <c r="G33" s="56"/>
      <c r="H33" s="56"/>
      <c r="I33" s="200"/>
      <c r="J33" s="56"/>
      <c r="K33" s="201" t="str">
        <f>IF(R33=0,"",IF(L33="","",J33))</f>
        <v/>
      </c>
      <c r="L33" s="56"/>
      <c r="M33" s="56" t="str">
        <f t="shared" ref="M33:M38" si="41">IF(R33=0,"",IF(J33="","",L33))</f>
        <v/>
      </c>
      <c r="N33" s="324"/>
      <c r="O33" s="259">
        <f t="shared" si="3"/>
        <v>4814.9406499598963</v>
      </c>
      <c r="P33" s="260">
        <f t="shared" si="37"/>
        <v>144444.8812999198</v>
      </c>
      <c r="Q33" s="169">
        <f t="shared" si="4"/>
        <v>89.753888213616023</v>
      </c>
      <c r="R33" s="169">
        <f t="shared" ref="R33:R38" si="42">IF(R$2=3,H33+G33/1.0936133+F33/0.0006213712,IF(R$2=2,H33*1.0936133+G33+F33/0.0005681818,IF(R$2=1,H33*0.0005681818*1.0936133+G33*0.0005681818+F33,"")))</f>
        <v>0</v>
      </c>
      <c r="S33" s="368" t="str">
        <f t="shared" si="12"/>
        <v/>
      </c>
      <c r="T33" s="169"/>
      <c r="U33" s="169"/>
      <c r="V33" s="170" t="str">
        <f t="shared" si="38"/>
        <v/>
      </c>
      <c r="W33" s="170" t="str">
        <f t="shared" si="39"/>
        <v/>
      </c>
      <c r="X33" s="259">
        <f t="shared" ref="X33:Z38" si="43">F33+X32</f>
        <v>0</v>
      </c>
      <c r="Y33" s="259">
        <f t="shared" si="43"/>
        <v>0</v>
      </c>
      <c r="Z33" s="259">
        <f t="shared" si="43"/>
        <v>0</v>
      </c>
      <c r="AA33" s="348">
        <f t="shared" si="8"/>
        <v>0</v>
      </c>
      <c r="AB33" s="274">
        <f t="shared" si="13"/>
        <v>0</v>
      </c>
      <c r="AC33" s="100"/>
      <c r="AD33" s="97"/>
      <c r="AE33" s="97"/>
      <c r="AF33" s="97"/>
    </row>
    <row r="34" spans="1:32">
      <c r="A34" s="1"/>
      <c r="B34" s="5">
        <f t="shared" si="35"/>
        <v>43362</v>
      </c>
      <c r="C34" s="38">
        <f t="shared" si="40"/>
        <v>43362</v>
      </c>
      <c r="D34" s="7">
        <f t="shared" ca="1" si="1"/>
        <v>-224</v>
      </c>
      <c r="E34" s="114" t="s">
        <v>3</v>
      </c>
      <c r="F34" s="55"/>
      <c r="G34" s="56"/>
      <c r="H34" s="56"/>
      <c r="I34" s="200"/>
      <c r="J34" s="56"/>
      <c r="K34" s="201" t="str">
        <f t="shared" ref="K34:K38" si="44">IF(R34=0,"",IF(L34="","",J34))</f>
        <v/>
      </c>
      <c r="L34" s="56"/>
      <c r="M34" s="56" t="str">
        <f t="shared" si="41"/>
        <v/>
      </c>
      <c r="N34" s="324"/>
      <c r="O34" s="259">
        <f t="shared" si="3"/>
        <v>4814.9406499598963</v>
      </c>
      <c r="P34" s="260">
        <f t="shared" si="37"/>
        <v>144444.8812999198</v>
      </c>
      <c r="Q34" s="169">
        <f t="shared" si="4"/>
        <v>89.753888213616023</v>
      </c>
      <c r="R34" s="169">
        <f t="shared" si="42"/>
        <v>0</v>
      </c>
      <c r="S34" s="368" t="str">
        <f t="shared" si="12"/>
        <v/>
      </c>
      <c r="T34" s="169"/>
      <c r="U34" s="169"/>
      <c r="V34" s="170" t="str">
        <f t="shared" si="38"/>
        <v/>
      </c>
      <c r="W34" s="170" t="str">
        <f t="shared" si="39"/>
        <v/>
      </c>
      <c r="X34" s="259">
        <f t="shared" si="43"/>
        <v>0</v>
      </c>
      <c r="Y34" s="259">
        <f t="shared" si="43"/>
        <v>0</v>
      </c>
      <c r="Z34" s="259">
        <f t="shared" si="43"/>
        <v>0</v>
      </c>
      <c r="AA34" s="348">
        <f t="shared" si="8"/>
        <v>0</v>
      </c>
      <c r="AB34" s="274">
        <f t="shared" si="13"/>
        <v>0</v>
      </c>
      <c r="AC34" s="100"/>
      <c r="AD34" s="97"/>
      <c r="AE34" s="97"/>
      <c r="AF34" s="97"/>
    </row>
    <row r="35" spans="1:32">
      <c r="A35" s="1"/>
      <c r="B35" s="5">
        <f t="shared" si="35"/>
        <v>43363</v>
      </c>
      <c r="C35" s="38">
        <f t="shared" si="40"/>
        <v>43363</v>
      </c>
      <c r="D35" s="7">
        <f t="shared" ca="1" si="1"/>
        <v>-225</v>
      </c>
      <c r="E35" s="114" t="s">
        <v>4</v>
      </c>
      <c r="F35" s="55"/>
      <c r="G35" s="56"/>
      <c r="H35" s="56"/>
      <c r="I35" s="200"/>
      <c r="J35" s="56"/>
      <c r="K35" s="201" t="str">
        <f t="shared" si="44"/>
        <v/>
      </c>
      <c r="L35" s="56"/>
      <c r="M35" s="56" t="str">
        <f t="shared" si="41"/>
        <v/>
      </c>
      <c r="N35" s="324"/>
      <c r="O35" s="259">
        <f t="shared" si="3"/>
        <v>4814.9406499598963</v>
      </c>
      <c r="P35" s="260">
        <f t="shared" si="37"/>
        <v>144444.8812999198</v>
      </c>
      <c r="Q35" s="169">
        <f t="shared" si="4"/>
        <v>89.753888213616023</v>
      </c>
      <c r="R35" s="169">
        <f t="shared" si="42"/>
        <v>0</v>
      </c>
      <c r="S35" s="368" t="str">
        <f t="shared" si="12"/>
        <v/>
      </c>
      <c r="T35" s="169"/>
      <c r="U35" s="169"/>
      <c r="V35" s="170" t="str">
        <f t="shared" si="38"/>
        <v/>
      </c>
      <c r="W35" s="170" t="str">
        <f t="shared" si="39"/>
        <v/>
      </c>
      <c r="X35" s="259">
        <f t="shared" si="43"/>
        <v>0</v>
      </c>
      <c r="Y35" s="259">
        <f t="shared" si="43"/>
        <v>0</v>
      </c>
      <c r="Z35" s="259">
        <f t="shared" si="43"/>
        <v>0</v>
      </c>
      <c r="AA35" s="348">
        <f t="shared" si="8"/>
        <v>0</v>
      </c>
      <c r="AB35" s="274">
        <f t="shared" si="13"/>
        <v>0</v>
      </c>
      <c r="AC35" s="100"/>
      <c r="AD35" s="97"/>
      <c r="AE35" s="97"/>
      <c r="AF35" s="97"/>
    </row>
    <row r="36" spans="1:32">
      <c r="A36" s="1"/>
      <c r="B36" s="5">
        <f t="shared" si="35"/>
        <v>43364</v>
      </c>
      <c r="C36" s="38">
        <f t="shared" si="40"/>
        <v>43364</v>
      </c>
      <c r="D36" s="7">
        <f t="shared" ca="1" si="1"/>
        <v>-226</v>
      </c>
      <c r="E36" s="114" t="s">
        <v>5</v>
      </c>
      <c r="F36" s="55"/>
      <c r="G36" s="56"/>
      <c r="H36" s="56"/>
      <c r="I36" s="200"/>
      <c r="J36" s="56"/>
      <c r="K36" s="201" t="str">
        <f t="shared" si="44"/>
        <v/>
      </c>
      <c r="L36" s="56"/>
      <c r="M36" s="56" t="str">
        <f t="shared" si="41"/>
        <v/>
      </c>
      <c r="N36" s="324"/>
      <c r="O36" s="259">
        <f t="shared" si="3"/>
        <v>4814.9406499598963</v>
      </c>
      <c r="P36" s="260">
        <f t="shared" si="37"/>
        <v>144444.8812999198</v>
      </c>
      <c r="Q36" s="169">
        <f t="shared" si="4"/>
        <v>89.753888213616023</v>
      </c>
      <c r="R36" s="169">
        <f t="shared" si="42"/>
        <v>0</v>
      </c>
      <c r="S36" s="368" t="str">
        <f t="shared" si="12"/>
        <v/>
      </c>
      <c r="T36" s="169"/>
      <c r="U36" s="169"/>
      <c r="V36" s="170" t="str">
        <f t="shared" si="38"/>
        <v/>
      </c>
      <c r="W36" s="170" t="str">
        <f t="shared" si="39"/>
        <v/>
      </c>
      <c r="X36" s="259">
        <f t="shared" si="43"/>
        <v>0</v>
      </c>
      <c r="Y36" s="259">
        <f t="shared" si="43"/>
        <v>0</v>
      </c>
      <c r="Z36" s="259">
        <f t="shared" si="43"/>
        <v>0</v>
      </c>
      <c r="AA36" s="348">
        <f t="shared" si="8"/>
        <v>0</v>
      </c>
      <c r="AB36" s="274">
        <f t="shared" si="13"/>
        <v>0</v>
      </c>
      <c r="AC36" s="100"/>
      <c r="AD36" s="97"/>
      <c r="AE36" s="97"/>
      <c r="AF36" s="97"/>
    </row>
    <row r="37" spans="1:32">
      <c r="A37" s="1"/>
      <c r="B37" s="5">
        <f t="shared" si="35"/>
        <v>43365</v>
      </c>
      <c r="C37" s="38">
        <f t="shared" si="40"/>
        <v>43365</v>
      </c>
      <c r="D37" s="7">
        <f t="shared" ca="1" si="1"/>
        <v>-227</v>
      </c>
      <c r="E37" s="114" t="s">
        <v>6</v>
      </c>
      <c r="F37" s="55"/>
      <c r="G37" s="56"/>
      <c r="H37" s="56"/>
      <c r="I37" s="200"/>
      <c r="J37" s="56"/>
      <c r="K37" s="201" t="str">
        <f t="shared" si="44"/>
        <v/>
      </c>
      <c r="L37" s="56"/>
      <c r="M37" s="56" t="str">
        <f t="shared" si="41"/>
        <v/>
      </c>
      <c r="N37" s="324"/>
      <c r="O37" s="259">
        <f t="shared" si="3"/>
        <v>4814.9406499598963</v>
      </c>
      <c r="P37" s="260">
        <f t="shared" si="37"/>
        <v>144444.8812999198</v>
      </c>
      <c r="Q37" s="169">
        <f t="shared" si="4"/>
        <v>89.753888213616023</v>
      </c>
      <c r="R37" s="169">
        <f t="shared" si="42"/>
        <v>0</v>
      </c>
      <c r="S37" s="368" t="str">
        <f t="shared" si="12"/>
        <v/>
      </c>
      <c r="T37" s="169"/>
      <c r="U37" s="169"/>
      <c r="V37" s="170" t="str">
        <f t="shared" si="38"/>
        <v/>
      </c>
      <c r="W37" s="170" t="str">
        <f t="shared" si="39"/>
        <v/>
      </c>
      <c r="X37" s="259">
        <f t="shared" si="43"/>
        <v>0</v>
      </c>
      <c r="Y37" s="259">
        <f t="shared" si="43"/>
        <v>0</v>
      </c>
      <c r="Z37" s="259">
        <f t="shared" si="43"/>
        <v>0</v>
      </c>
      <c r="AA37" s="348">
        <f t="shared" si="8"/>
        <v>0</v>
      </c>
      <c r="AB37" s="274">
        <f t="shared" si="13"/>
        <v>0</v>
      </c>
      <c r="AC37" s="100"/>
      <c r="AD37" s="97"/>
      <c r="AE37" s="97"/>
      <c r="AF37" s="97"/>
    </row>
    <row r="38" spans="1:32" ht="16" thickBot="1">
      <c r="A38" s="1"/>
      <c r="B38" s="53">
        <f t="shared" si="35"/>
        <v>43366</v>
      </c>
      <c r="C38" s="41">
        <f t="shared" si="40"/>
        <v>43366</v>
      </c>
      <c r="D38" s="54">
        <f t="shared" ca="1" si="1"/>
        <v>-228</v>
      </c>
      <c r="E38" s="117" t="s">
        <v>7</v>
      </c>
      <c r="F38" s="55"/>
      <c r="G38" s="56"/>
      <c r="H38" s="56"/>
      <c r="I38" s="200"/>
      <c r="J38" s="56"/>
      <c r="K38" s="201" t="str">
        <f t="shared" si="44"/>
        <v/>
      </c>
      <c r="L38" s="56"/>
      <c r="M38" s="56" t="str">
        <f t="shared" si="41"/>
        <v/>
      </c>
      <c r="N38" s="329"/>
      <c r="O38" s="259">
        <f t="shared" si="3"/>
        <v>4814.9406499598963</v>
      </c>
      <c r="P38" s="260">
        <f t="shared" si="37"/>
        <v>144444.8812999198</v>
      </c>
      <c r="Q38" s="169">
        <f t="shared" si="4"/>
        <v>89.753888213616023</v>
      </c>
      <c r="R38" s="169">
        <f t="shared" si="42"/>
        <v>0</v>
      </c>
      <c r="S38" s="368" t="str">
        <f t="shared" si="12"/>
        <v/>
      </c>
      <c r="T38" s="169"/>
      <c r="U38" s="169"/>
      <c r="V38" s="170" t="str">
        <f t="shared" si="38"/>
        <v/>
      </c>
      <c r="W38" s="170" t="str">
        <f t="shared" si="39"/>
        <v/>
      </c>
      <c r="X38" s="259">
        <f t="shared" si="43"/>
        <v>0</v>
      </c>
      <c r="Y38" s="259">
        <f t="shared" si="43"/>
        <v>0</v>
      </c>
      <c r="Z38" s="259">
        <f t="shared" si="43"/>
        <v>0</v>
      </c>
      <c r="AA38" s="348">
        <f t="shared" si="8"/>
        <v>0</v>
      </c>
      <c r="AB38" s="274">
        <f t="shared" si="13"/>
        <v>0</v>
      </c>
      <c r="AC38" s="100"/>
      <c r="AD38" s="97"/>
      <c r="AE38" s="97"/>
      <c r="AF38" s="97"/>
    </row>
    <row r="39" spans="1:32" ht="16" thickTop="1">
      <c r="A39" s="29"/>
      <c r="B39" s="16"/>
      <c r="C39" s="42"/>
      <c r="D39" s="60">
        <f ca="1">TODAY()-C39</f>
        <v>43138</v>
      </c>
      <c r="E39" s="113" t="s">
        <v>76</v>
      </c>
      <c r="F39" s="59">
        <f ca="1">G39*0.000568181818</f>
        <v>-1.2427401132386871E-58</v>
      </c>
      <c r="G39" s="19">
        <f ca="1">H39*1.0936113</f>
        <v>-2.1872226000000002E-55</v>
      </c>
      <c r="H39" s="20">
        <f ca="1">IF(TODAY()&gt;=B32,(AA38-AA29)*1000,-2E-55)</f>
        <v>-2E-55</v>
      </c>
      <c r="I39" s="152"/>
      <c r="J39" s="218" t="s">
        <v>137</v>
      </c>
      <c r="K39" s="155"/>
      <c r="L39" s="219" t="s">
        <v>138</v>
      </c>
      <c r="M39" s="155"/>
      <c r="N39" s="331" t="s">
        <v>139</v>
      </c>
      <c r="O39" s="259" t="str">
        <f t="shared" si="3"/>
        <v/>
      </c>
      <c r="P39" s="260"/>
      <c r="Q39" s="169">
        <f t="shared" si="4"/>
        <v>0</v>
      </c>
      <c r="R39" s="350"/>
      <c r="S39" s="368" t="str">
        <f t="shared" si="12"/>
        <v/>
      </c>
      <c r="T39" s="350"/>
      <c r="U39" s="350"/>
      <c r="V39" s="350"/>
      <c r="W39" s="350"/>
      <c r="X39" s="234"/>
      <c r="Y39" s="234"/>
      <c r="Z39" s="234"/>
      <c r="AA39" s="348">
        <f t="shared" si="8"/>
        <v>0</v>
      </c>
      <c r="AB39" s="274">
        <f t="shared" si="13"/>
        <v>0</v>
      </c>
      <c r="AC39" s="100"/>
      <c r="AD39" s="97"/>
      <c r="AE39" s="97"/>
      <c r="AF39" s="97"/>
    </row>
    <row r="40" spans="1:32" ht="16" thickBot="1">
      <c r="A40" s="28"/>
      <c r="B40" s="17"/>
      <c r="C40" s="39"/>
      <c r="D40" s="61">
        <f ca="1">TODAY()-C40</f>
        <v>43138</v>
      </c>
      <c r="E40" s="116" t="s">
        <v>33</v>
      </c>
      <c r="F40" s="62">
        <f>G40*0.0005681818</f>
        <v>20.942655724834999</v>
      </c>
      <c r="G40" s="63">
        <f>H40*1.0936113</f>
        <v>36859.075255200005</v>
      </c>
      <c r="H40" s="6">
        <f>INT(SUM($O32:$O38))</f>
        <v>33704</v>
      </c>
      <c r="I40" s="153"/>
      <c r="J40" s="156"/>
      <c r="K40" s="157"/>
      <c r="L40" s="217">
        <f>COUNT(S5:S51)-COUNT(V5:V51)</f>
        <v>0</v>
      </c>
      <c r="M40" s="157"/>
      <c r="N40" s="157"/>
      <c r="O40" s="259" t="str">
        <f t="shared" si="3"/>
        <v/>
      </c>
      <c r="P40" s="260"/>
      <c r="Q40" s="169">
        <f t="shared" si="4"/>
        <v>0</v>
      </c>
      <c r="R40" s="351"/>
      <c r="S40" s="368" t="str">
        <f t="shared" si="12"/>
        <v/>
      </c>
      <c r="T40" s="351"/>
      <c r="U40" s="351"/>
      <c r="V40" s="351"/>
      <c r="W40" s="351"/>
      <c r="X40" s="234"/>
      <c r="Y40" s="234"/>
      <c r="Z40" s="234"/>
      <c r="AA40" s="348">
        <f t="shared" si="8"/>
        <v>0</v>
      </c>
      <c r="AB40" s="274">
        <f t="shared" si="13"/>
        <v>0</v>
      </c>
      <c r="AC40" s="100"/>
      <c r="AD40" s="97"/>
      <c r="AE40" s="97"/>
      <c r="AF40" s="97"/>
    </row>
    <row r="41" spans="1:32" ht="16" thickTop="1">
      <c r="A41" s="1" t="s">
        <v>12</v>
      </c>
      <c r="B41" s="57">
        <f t="shared" ref="B41:B47" si="45">IF(B$3&lt;C41,0,C41)</f>
        <v>43367</v>
      </c>
      <c r="C41" s="40">
        <f>C38+1</f>
        <v>43367</v>
      </c>
      <c r="D41" s="22">
        <f t="shared" ca="1" si="1"/>
        <v>-229</v>
      </c>
      <c r="E41" s="118" t="str">
        <f>IF(B41=0,"","Monday")</f>
        <v>Monday</v>
      </c>
      <c r="F41" s="55"/>
      <c r="G41" s="56"/>
      <c r="H41" s="56"/>
      <c r="I41" s="200"/>
      <c r="J41" s="128"/>
      <c r="K41" s="201" t="str">
        <f t="shared" ref="K41" si="46">IF(R41=0,"",IF(L41="","",J41))</f>
        <v/>
      </c>
      <c r="L41" s="128"/>
      <c r="M41" s="56" t="str">
        <f>IF(R41=0,"",IF(J41="","",L41))</f>
        <v/>
      </c>
      <c r="N41" s="330"/>
      <c r="O41" s="259">
        <f t="shared" si="3"/>
        <v>4814.9406499598963</v>
      </c>
      <c r="P41" s="260">
        <f t="shared" ref="P41:P47" si="47">H$56</f>
        <v>144444.8812999198</v>
      </c>
      <c r="Q41" s="169">
        <f t="shared" si="4"/>
        <v>89.753888213616023</v>
      </c>
      <c r="R41" s="169">
        <f>IF(R$2=3,H41+G41/1.0936133+F41/0.0006213712,IF(R$2=2,H41*1.0936133+G41+F41/0.0005681818,IF(R$2=1,H41*0.0005681818*1.0936133+G41*0.0005681818+F41,"")))</f>
        <v>0</v>
      </c>
      <c r="S41" s="368" t="str">
        <f t="shared" si="12"/>
        <v/>
      </c>
      <c r="T41" s="169"/>
      <c r="U41" s="169"/>
      <c r="V41" s="170" t="str">
        <f t="shared" ref="V41:V47" si="48">IF(L41="","",IF(R41=0,"",IF(B41=0,"",IF($R$2=3,R41/L41*60/1000,IF($R$2=2,R41/L41*60/1760,IF($R$2=1,R41/L41*60,""))))))</f>
        <v/>
      </c>
      <c r="W41" s="170" t="str">
        <f t="shared" ref="W41:W47" si="49">IF(R41=0,"",IF(L41="","",V41*L41))</f>
        <v/>
      </c>
      <c r="X41" s="259">
        <f>F41+X38</f>
        <v>0</v>
      </c>
      <c r="Y41" s="259">
        <f>G41+Y38</f>
        <v>0</v>
      </c>
      <c r="Z41" s="259">
        <f>H41+Z38</f>
        <v>0</v>
      </c>
      <c r="AA41" s="348">
        <f t="shared" si="8"/>
        <v>0</v>
      </c>
      <c r="AB41" s="274">
        <f t="shared" si="13"/>
        <v>0</v>
      </c>
      <c r="AC41" s="100"/>
      <c r="AD41" s="97"/>
      <c r="AE41" s="97"/>
      <c r="AF41" s="97"/>
    </row>
    <row r="42" spans="1:32">
      <c r="A42" s="1"/>
      <c r="B42" s="5">
        <f t="shared" si="45"/>
        <v>43368</v>
      </c>
      <c r="C42" s="38">
        <f t="shared" ref="C42:C47" si="50">C41+1</f>
        <v>43368</v>
      </c>
      <c r="D42" s="7">
        <f t="shared" ca="1" si="1"/>
        <v>-230</v>
      </c>
      <c r="E42" s="114" t="str">
        <f>IF(B42=0,"","Tuesday")</f>
        <v>Tuesday</v>
      </c>
      <c r="F42" s="55"/>
      <c r="G42" s="56"/>
      <c r="H42" s="56"/>
      <c r="I42" s="200"/>
      <c r="J42" s="56"/>
      <c r="K42" s="201" t="str">
        <f>IF(R42=0,"",IF(L42="","",J42))</f>
        <v/>
      </c>
      <c r="L42" s="56"/>
      <c r="M42" s="56" t="str">
        <f t="shared" ref="M42:M47" si="51">IF(R42=0,"",IF(J42="","",L42))</f>
        <v/>
      </c>
      <c r="N42" s="324"/>
      <c r="O42" s="259">
        <f t="shared" si="3"/>
        <v>4814.9406499598963</v>
      </c>
      <c r="P42" s="260">
        <f t="shared" si="47"/>
        <v>144444.8812999198</v>
      </c>
      <c r="Q42" s="169">
        <f t="shared" si="4"/>
        <v>89.753888213616023</v>
      </c>
      <c r="R42" s="169">
        <f t="shared" ref="R42:R47" si="52">IF(R$2=3,H42+G42/1.0936133+F42/0.0006213712,IF(R$2=2,H42*1.0936133+G42+F42/0.0005681818,IF(R$2=1,H42*0.0005681818*1.0936133+G42*0.0005681818+F42,"")))</f>
        <v>0</v>
      </c>
      <c r="S42" s="368" t="str">
        <f t="shared" si="12"/>
        <v/>
      </c>
      <c r="T42" s="169"/>
      <c r="U42" s="169"/>
      <c r="V42" s="170" t="str">
        <f t="shared" si="48"/>
        <v/>
      </c>
      <c r="W42" s="170" t="str">
        <f t="shared" si="49"/>
        <v/>
      </c>
      <c r="X42" s="259">
        <f t="shared" ref="X42:Z47" si="53">F42+X41</f>
        <v>0</v>
      </c>
      <c r="Y42" s="259">
        <f t="shared" si="53"/>
        <v>0</v>
      </c>
      <c r="Z42" s="259">
        <f t="shared" si="53"/>
        <v>0</v>
      </c>
      <c r="AA42" s="348">
        <f t="shared" si="8"/>
        <v>0</v>
      </c>
      <c r="AB42" s="274">
        <f t="shared" si="13"/>
        <v>0</v>
      </c>
      <c r="AC42" s="100"/>
      <c r="AD42" s="97"/>
      <c r="AE42" s="97"/>
      <c r="AF42" s="97"/>
    </row>
    <row r="43" spans="1:32">
      <c r="A43" s="1"/>
      <c r="B43" s="5">
        <f t="shared" si="45"/>
        <v>43369</v>
      </c>
      <c r="C43" s="38">
        <f t="shared" si="50"/>
        <v>43369</v>
      </c>
      <c r="D43" s="7">
        <f t="shared" ca="1" si="1"/>
        <v>-231</v>
      </c>
      <c r="E43" s="114" t="str">
        <f>IF(B43=0,"","Wednesday")</f>
        <v>Wednesday</v>
      </c>
      <c r="F43" s="55"/>
      <c r="G43" s="56"/>
      <c r="H43" s="56"/>
      <c r="I43" s="200"/>
      <c r="J43" s="56"/>
      <c r="K43" s="201" t="str">
        <f t="shared" ref="K43:K47" si="54">IF(R43=0,"",IF(L43="","",J43))</f>
        <v/>
      </c>
      <c r="L43" s="56"/>
      <c r="M43" s="56" t="str">
        <f t="shared" si="51"/>
        <v/>
      </c>
      <c r="N43" s="324"/>
      <c r="O43" s="259">
        <f t="shared" si="3"/>
        <v>4814.9406499598963</v>
      </c>
      <c r="P43" s="260">
        <f t="shared" si="47"/>
        <v>144444.8812999198</v>
      </c>
      <c r="Q43" s="169">
        <f t="shared" si="4"/>
        <v>89.753888213616023</v>
      </c>
      <c r="R43" s="169">
        <f t="shared" si="52"/>
        <v>0</v>
      </c>
      <c r="S43" s="368" t="str">
        <f t="shared" si="12"/>
        <v/>
      </c>
      <c r="T43" s="169"/>
      <c r="U43" s="169"/>
      <c r="V43" s="170" t="str">
        <f t="shared" si="48"/>
        <v/>
      </c>
      <c r="W43" s="170" t="str">
        <f t="shared" si="49"/>
        <v/>
      </c>
      <c r="X43" s="259">
        <f t="shared" si="53"/>
        <v>0</v>
      </c>
      <c r="Y43" s="259">
        <f t="shared" si="53"/>
        <v>0</v>
      </c>
      <c r="Z43" s="259">
        <f t="shared" si="53"/>
        <v>0</v>
      </c>
      <c r="AA43" s="348">
        <f t="shared" si="8"/>
        <v>0</v>
      </c>
      <c r="AB43" s="274">
        <f t="shared" si="13"/>
        <v>0</v>
      </c>
      <c r="AC43" s="100"/>
      <c r="AD43" s="97"/>
      <c r="AE43" s="97"/>
      <c r="AF43" s="97"/>
    </row>
    <row r="44" spans="1:32">
      <c r="A44" s="1"/>
      <c r="B44" s="5">
        <f t="shared" si="45"/>
        <v>43370</v>
      </c>
      <c r="C44" s="38">
        <f t="shared" si="50"/>
        <v>43370</v>
      </c>
      <c r="D44" s="7">
        <f t="shared" ca="1" si="1"/>
        <v>-232</v>
      </c>
      <c r="E44" s="114" t="str">
        <f>IF(B44=0,"","Thursday")</f>
        <v>Thursday</v>
      </c>
      <c r="F44" s="55"/>
      <c r="G44" s="56"/>
      <c r="H44" s="56"/>
      <c r="I44" s="200"/>
      <c r="J44" s="56"/>
      <c r="K44" s="201" t="str">
        <f t="shared" si="54"/>
        <v/>
      </c>
      <c r="L44" s="56"/>
      <c r="M44" s="56" t="str">
        <f t="shared" si="51"/>
        <v/>
      </c>
      <c r="N44" s="324"/>
      <c r="O44" s="259">
        <f t="shared" si="3"/>
        <v>4814.9406499598963</v>
      </c>
      <c r="P44" s="260">
        <f t="shared" si="47"/>
        <v>144444.8812999198</v>
      </c>
      <c r="Q44" s="169">
        <f t="shared" si="4"/>
        <v>89.753888213616023</v>
      </c>
      <c r="R44" s="169">
        <f t="shared" si="52"/>
        <v>0</v>
      </c>
      <c r="S44" s="368" t="str">
        <f t="shared" si="12"/>
        <v/>
      </c>
      <c r="T44" s="169"/>
      <c r="U44" s="169"/>
      <c r="V44" s="170" t="str">
        <f t="shared" si="48"/>
        <v/>
      </c>
      <c r="W44" s="170" t="str">
        <f t="shared" si="49"/>
        <v/>
      </c>
      <c r="X44" s="259">
        <f t="shared" si="53"/>
        <v>0</v>
      </c>
      <c r="Y44" s="259">
        <f t="shared" si="53"/>
        <v>0</v>
      </c>
      <c r="Z44" s="259">
        <f t="shared" si="53"/>
        <v>0</v>
      </c>
      <c r="AA44" s="348">
        <f t="shared" si="8"/>
        <v>0</v>
      </c>
      <c r="AB44" s="274">
        <f t="shared" si="13"/>
        <v>0</v>
      </c>
      <c r="AC44" s="174"/>
      <c r="AD44" s="173"/>
      <c r="AE44" s="97"/>
      <c r="AF44" s="97"/>
    </row>
    <row r="45" spans="1:32">
      <c r="A45" s="1"/>
      <c r="B45" s="5">
        <f t="shared" si="45"/>
        <v>43371</v>
      </c>
      <c r="C45" s="38">
        <f t="shared" si="50"/>
        <v>43371</v>
      </c>
      <c r="D45" s="7">
        <f t="shared" ca="1" si="1"/>
        <v>-233</v>
      </c>
      <c r="E45" s="114" t="str">
        <f>IF(B45=0,"","Friday")</f>
        <v>Friday</v>
      </c>
      <c r="F45" s="55"/>
      <c r="G45" s="56"/>
      <c r="H45" s="56"/>
      <c r="I45" s="200"/>
      <c r="J45" s="56"/>
      <c r="K45" s="201" t="str">
        <f t="shared" si="54"/>
        <v/>
      </c>
      <c r="L45" s="56"/>
      <c r="M45" s="56" t="str">
        <f t="shared" si="51"/>
        <v/>
      </c>
      <c r="N45" s="324"/>
      <c r="O45" s="259">
        <f t="shared" si="3"/>
        <v>4814.9406499598963</v>
      </c>
      <c r="P45" s="260">
        <f t="shared" si="47"/>
        <v>144444.8812999198</v>
      </c>
      <c r="Q45" s="169">
        <f t="shared" si="4"/>
        <v>89.753888213616023</v>
      </c>
      <c r="R45" s="169">
        <f t="shared" si="52"/>
        <v>0</v>
      </c>
      <c r="S45" s="368" t="str">
        <f t="shared" si="12"/>
        <v/>
      </c>
      <c r="T45" s="169"/>
      <c r="U45" s="169"/>
      <c r="V45" s="170" t="str">
        <f t="shared" si="48"/>
        <v/>
      </c>
      <c r="W45" s="170" t="str">
        <f t="shared" si="49"/>
        <v/>
      </c>
      <c r="X45" s="259">
        <f t="shared" si="53"/>
        <v>0</v>
      </c>
      <c r="Y45" s="259">
        <f t="shared" si="53"/>
        <v>0</v>
      </c>
      <c r="Z45" s="259">
        <f t="shared" si="53"/>
        <v>0</v>
      </c>
      <c r="AA45" s="348">
        <f t="shared" si="8"/>
        <v>0</v>
      </c>
      <c r="AB45" s="274">
        <f t="shared" si="13"/>
        <v>0</v>
      </c>
      <c r="AC45" s="100"/>
      <c r="AD45" s="97"/>
      <c r="AE45" s="97"/>
      <c r="AF45" s="97"/>
    </row>
    <row r="46" spans="1:32">
      <c r="A46" s="1"/>
      <c r="B46" s="5">
        <f t="shared" si="45"/>
        <v>43372</v>
      </c>
      <c r="C46" s="38">
        <f t="shared" si="50"/>
        <v>43372</v>
      </c>
      <c r="D46" s="7">
        <f t="shared" ca="1" si="1"/>
        <v>-234</v>
      </c>
      <c r="E46" s="114" t="str">
        <f>IF(B46=0,"","Saturday")</f>
        <v>Saturday</v>
      </c>
      <c r="F46" s="55"/>
      <c r="G46" s="56"/>
      <c r="H46" s="56"/>
      <c r="I46" s="200"/>
      <c r="J46" s="56"/>
      <c r="K46" s="201" t="str">
        <f t="shared" si="54"/>
        <v/>
      </c>
      <c r="L46" s="56"/>
      <c r="M46" s="56" t="str">
        <f t="shared" si="51"/>
        <v/>
      </c>
      <c r="N46" s="324"/>
      <c r="O46" s="259">
        <f t="shared" si="3"/>
        <v>4814.9406499598963</v>
      </c>
      <c r="P46" s="260">
        <f t="shared" si="47"/>
        <v>144444.8812999198</v>
      </c>
      <c r="Q46" s="169">
        <f t="shared" si="4"/>
        <v>89.753888213616023</v>
      </c>
      <c r="R46" s="169">
        <f t="shared" si="52"/>
        <v>0</v>
      </c>
      <c r="S46" s="368" t="str">
        <f t="shared" si="12"/>
        <v/>
      </c>
      <c r="T46" s="169"/>
      <c r="U46" s="169"/>
      <c r="V46" s="170" t="str">
        <f t="shared" si="48"/>
        <v/>
      </c>
      <c r="W46" s="170" t="str">
        <f t="shared" si="49"/>
        <v/>
      </c>
      <c r="X46" s="259">
        <f t="shared" si="53"/>
        <v>0</v>
      </c>
      <c r="Y46" s="259">
        <f t="shared" si="53"/>
        <v>0</v>
      </c>
      <c r="Z46" s="259">
        <f t="shared" si="53"/>
        <v>0</v>
      </c>
      <c r="AA46" s="348">
        <f t="shared" si="8"/>
        <v>0</v>
      </c>
      <c r="AB46" s="274">
        <f t="shared" si="13"/>
        <v>0</v>
      </c>
      <c r="AC46" s="100"/>
      <c r="AD46" s="97"/>
      <c r="AE46" s="97"/>
      <c r="AF46" s="97"/>
    </row>
    <row r="47" spans="1:32" ht="16" thickBot="1">
      <c r="A47" s="1"/>
      <c r="B47" s="53">
        <f t="shared" si="45"/>
        <v>43373</v>
      </c>
      <c r="C47" s="41">
        <f t="shared" si="50"/>
        <v>43373</v>
      </c>
      <c r="D47" s="54">
        <f t="shared" ca="1" si="1"/>
        <v>-235</v>
      </c>
      <c r="E47" s="117" t="str">
        <f>IF(B47=0,"","Sunday")</f>
        <v>Sunday</v>
      </c>
      <c r="F47" s="55"/>
      <c r="G47" s="56"/>
      <c r="H47" s="56"/>
      <c r="I47" s="200"/>
      <c r="J47" s="56"/>
      <c r="K47" s="201" t="str">
        <f t="shared" si="54"/>
        <v/>
      </c>
      <c r="L47" s="56"/>
      <c r="M47" s="56" t="str">
        <f t="shared" si="51"/>
        <v/>
      </c>
      <c r="N47" s="329"/>
      <c r="O47" s="259">
        <f t="shared" si="3"/>
        <v>4814.9406499598963</v>
      </c>
      <c r="P47" s="260">
        <f t="shared" si="47"/>
        <v>144444.8812999198</v>
      </c>
      <c r="Q47" s="169">
        <f t="shared" si="4"/>
        <v>89.753888213616023</v>
      </c>
      <c r="R47" s="169">
        <f t="shared" si="52"/>
        <v>0</v>
      </c>
      <c r="S47" s="368" t="str">
        <f t="shared" si="12"/>
        <v/>
      </c>
      <c r="T47" s="169"/>
      <c r="U47" s="169"/>
      <c r="V47" s="170" t="str">
        <f t="shared" si="48"/>
        <v/>
      </c>
      <c r="W47" s="170" t="str">
        <f t="shared" si="49"/>
        <v/>
      </c>
      <c r="X47" s="259">
        <f t="shared" si="53"/>
        <v>0</v>
      </c>
      <c r="Y47" s="259">
        <f t="shared" si="53"/>
        <v>0</v>
      </c>
      <c r="Z47" s="259">
        <f t="shared" si="53"/>
        <v>0</v>
      </c>
      <c r="AA47" s="348">
        <f t="shared" si="8"/>
        <v>0</v>
      </c>
      <c r="AB47" s="274">
        <f t="shared" si="13"/>
        <v>0</v>
      </c>
      <c r="AC47" s="100"/>
      <c r="AD47" s="97"/>
      <c r="AE47" s="97"/>
      <c r="AF47" s="97"/>
    </row>
    <row r="48" spans="1:32" ht="16" thickTop="1">
      <c r="A48" s="29"/>
      <c r="B48" s="16"/>
      <c r="C48" s="42"/>
      <c r="D48" s="60">
        <f ca="1">TODAY()-C48</f>
        <v>43138</v>
      </c>
      <c r="E48" s="113" t="s">
        <v>76</v>
      </c>
      <c r="F48" s="59">
        <f ca="1">G48*0.000568181818</f>
        <v>-1.2427401132386871E-58</v>
      </c>
      <c r="G48" s="19">
        <f ca="1">H48*1.0936113</f>
        <v>-2.1872226000000002E-55</v>
      </c>
      <c r="H48" s="20">
        <f ca="1">IF(SUM(B41:B47)=0,-1E-55,IF(TODAY()&gt;=B$41,(AA47-AA38)*1000,-2E-55))</f>
        <v>-2E-55</v>
      </c>
      <c r="I48" s="152"/>
      <c r="J48" s="432" t="s">
        <v>121</v>
      </c>
      <c r="K48" s="456"/>
      <c r="L48" s="456"/>
      <c r="M48" s="457"/>
      <c r="N48" s="457"/>
      <c r="O48" s="259" t="str">
        <f t="shared" si="3"/>
        <v/>
      </c>
      <c r="P48" s="230"/>
      <c r="Q48" s="169">
        <f t="shared" si="4"/>
        <v>0</v>
      </c>
      <c r="R48" s="350"/>
      <c r="S48" s="368" t="str">
        <f t="shared" si="12"/>
        <v/>
      </c>
      <c r="T48" s="350"/>
      <c r="U48" s="350"/>
      <c r="V48" s="350"/>
      <c r="W48" s="350"/>
      <c r="X48" s="259"/>
      <c r="Y48" s="259" t="str">
        <f>IF(A48=0,"",G48+Y36)</f>
        <v/>
      </c>
      <c r="Z48" s="259" t="str">
        <f>IF(B48=0,"",H48+Z36)</f>
        <v/>
      </c>
      <c r="AA48" s="348"/>
      <c r="AB48" s="274">
        <f t="shared" si="13"/>
        <v>0</v>
      </c>
      <c r="AC48" s="100"/>
      <c r="AD48" s="97"/>
      <c r="AE48" s="97"/>
      <c r="AF48" s="97"/>
    </row>
    <row r="49" spans="1:54" ht="19" thickBot="1">
      <c r="A49" s="28"/>
      <c r="B49" s="17"/>
      <c r="C49" s="39"/>
      <c r="D49" s="61">
        <f ca="1">TODAY()-C49</f>
        <v>43138</v>
      </c>
      <c r="E49" s="116" t="s">
        <v>33</v>
      </c>
      <c r="F49" s="62">
        <f>G49*0.0005681818</f>
        <v>20.942655724834999</v>
      </c>
      <c r="G49" s="63">
        <f>H49*1.0936113</f>
        <v>36859.075255200005</v>
      </c>
      <c r="H49" s="6">
        <f>INT(SUM($O41:$O47))</f>
        <v>33704</v>
      </c>
      <c r="I49" s="153"/>
      <c r="J49" s="434" t="str">
        <f>IF(R$2=1,"MILES",IF(R$2=2,"YARDS",IF(R$2=3,"METRES","????")))</f>
        <v>MILES</v>
      </c>
      <c r="K49" s="441"/>
      <c r="L49" s="441"/>
      <c r="M49" s="442"/>
      <c r="N49" s="442"/>
      <c r="O49" s="259" t="str">
        <f t="shared" si="3"/>
        <v/>
      </c>
      <c r="P49" s="234"/>
      <c r="Q49" s="169">
        <f t="shared" si="4"/>
        <v>0</v>
      </c>
      <c r="R49" s="351"/>
      <c r="S49" s="368" t="str">
        <f t="shared" si="12"/>
        <v/>
      </c>
      <c r="T49" s="351"/>
      <c r="U49" s="351"/>
      <c r="V49" s="351"/>
      <c r="W49" s="351"/>
      <c r="X49" s="259"/>
      <c r="Y49" s="259" t="str">
        <f>IF(A49=0,"",G49+Y37)</f>
        <v/>
      </c>
      <c r="Z49" s="259" t="str">
        <f>IF(B49=0,"",H49+Z37)</f>
        <v/>
      </c>
      <c r="AA49" s="348"/>
      <c r="AB49" s="274">
        <f t="shared" si="13"/>
        <v>0</v>
      </c>
      <c r="AC49" s="171"/>
      <c r="AD49" s="172"/>
      <c r="AE49" s="172"/>
      <c r="AF49" s="288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</row>
    <row r="50" spans="1:54" ht="16" thickTop="1">
      <c r="A50" s="1" t="s">
        <v>22</v>
      </c>
      <c r="B50" s="57">
        <f t="shared" ref="B50:B51" si="55">IF(B$3&lt;C50,0,C50)</f>
        <v>0</v>
      </c>
      <c r="C50" s="40">
        <f>C47+1</f>
        <v>43374</v>
      </c>
      <c r="D50" s="22">
        <f t="shared" ca="1" si="1"/>
        <v>-236</v>
      </c>
      <c r="E50" s="118" t="str">
        <f>IF(B50=0,"","Monday")</f>
        <v/>
      </c>
      <c r="F50" s="55"/>
      <c r="G50" s="56"/>
      <c r="H50" s="56"/>
      <c r="I50" s="200"/>
      <c r="J50" s="128"/>
      <c r="K50" s="201" t="str">
        <f t="shared" ref="K50" si="56">IF(R50=0,"",IF(L50="","",J50))</f>
        <v/>
      </c>
      <c r="L50" s="128"/>
      <c r="M50" s="56" t="str">
        <f>IF(R50=0,"",IF(J50="","",L50))</f>
        <v/>
      </c>
      <c r="N50" s="330"/>
      <c r="O50" s="259" t="str">
        <f t="shared" si="3"/>
        <v/>
      </c>
      <c r="P50" s="260">
        <f>H$56</f>
        <v>144444.8812999198</v>
      </c>
      <c r="Q50" s="169">
        <f t="shared" si="4"/>
        <v>89.753888213616023</v>
      </c>
      <c r="R50" s="169">
        <f>IF(R$2=3,H50+G50/1.0936133+F50/0.0006213712,IF(R$2=2,H50*1.0936133+G50+F50/0.0005681818,IF(R$2=1,H50*0.0005681818*1.0936133+G50*0.0005681818+F50,"")))</f>
        <v>0</v>
      </c>
      <c r="S50" s="368" t="str">
        <f t="shared" si="12"/>
        <v/>
      </c>
      <c r="T50" s="169"/>
      <c r="U50" s="169"/>
      <c r="V50" s="170" t="str">
        <f>IF(L50="","",IF(R50=0,"",IF(B50=0,"",IF($R$2=3,R50/L50*60/1000,IF($R$2=2,R50/L50*60/1760,IF($R$2=1,R50/L50*60,""))))))</f>
        <v/>
      </c>
      <c r="W50" s="170" t="str">
        <f>IF(R50=0,"",IF(L50="","",V50*L50))</f>
        <v/>
      </c>
      <c r="X50" s="259">
        <f>F50+X47</f>
        <v>0</v>
      </c>
      <c r="Y50" s="259">
        <f>G50+Y47</f>
        <v>0</v>
      </c>
      <c r="Z50" s="259">
        <f>H50+Z47</f>
        <v>0</v>
      </c>
      <c r="AA50" s="348">
        <f t="shared" si="8"/>
        <v>0</v>
      </c>
      <c r="AB50" s="274">
        <f t="shared" si="13"/>
        <v>0</v>
      </c>
      <c r="AC50" s="100"/>
      <c r="AD50" s="97"/>
      <c r="AE50" s="97"/>
      <c r="AF50" s="97"/>
    </row>
    <row r="51" spans="1:54" ht="16" thickBot="1">
      <c r="A51" s="1"/>
      <c r="B51" s="5">
        <f t="shared" si="55"/>
        <v>0</v>
      </c>
      <c r="C51" s="38">
        <f t="shared" ref="C51" si="57">C50+1</f>
        <v>43375</v>
      </c>
      <c r="D51" s="7">
        <f t="shared" ca="1" si="1"/>
        <v>-237</v>
      </c>
      <c r="E51" s="114" t="str">
        <f>IF(B51=0,"","Tuesday")</f>
        <v/>
      </c>
      <c r="F51" s="55"/>
      <c r="G51" s="56"/>
      <c r="H51" s="56"/>
      <c r="I51" s="200"/>
      <c r="J51" s="56"/>
      <c r="K51" s="201" t="str">
        <f>IF(R51=0,"",IF(L51="","",J51))</f>
        <v/>
      </c>
      <c r="L51" s="56"/>
      <c r="M51" s="56" t="str">
        <f t="shared" ref="M51" si="58">IF(R51=0,"",IF(J51="","",L51))</f>
        <v/>
      </c>
      <c r="N51" s="329"/>
      <c r="O51" s="259" t="str">
        <f t="shared" si="3"/>
        <v/>
      </c>
      <c r="P51" s="260">
        <f>H$56</f>
        <v>144444.8812999198</v>
      </c>
      <c r="Q51" s="169">
        <f t="shared" si="4"/>
        <v>89.753888213616023</v>
      </c>
      <c r="R51" s="169">
        <f>IF(R$2=3,H51+G51/1.0936133+F51/0.0006213712,IF(R$2=2,H51*1.0936133+G51+F51/0.0005681818,IF(R$2=1,H51*0.0005681818*1.0936133+G51*0.0005681818+F51,"")))</f>
        <v>0</v>
      </c>
      <c r="S51" s="368" t="str">
        <f t="shared" si="12"/>
        <v/>
      </c>
      <c r="T51" s="169"/>
      <c r="U51" s="169"/>
      <c r="V51" s="170" t="str">
        <f>IF(L51="","",IF(R51=0,"",IF(B51=0,"",IF($R$2=3,R51/L51*60/1000,IF($R$2=2,R51/L51*60/1760,IF($R$2=1,R51/L51*60,""))))))</f>
        <v/>
      </c>
      <c r="W51" s="170" t="str">
        <f>IF(R51=0,"",IF(L51="","",V51*L51))</f>
        <v/>
      </c>
      <c r="X51" s="259">
        <f>F51+X50</f>
        <v>0</v>
      </c>
      <c r="Y51" s="259">
        <f>G51+Y50</f>
        <v>0</v>
      </c>
      <c r="Z51" s="259">
        <f>H51+Z50</f>
        <v>0</v>
      </c>
      <c r="AA51" s="348">
        <f t="shared" si="8"/>
        <v>0</v>
      </c>
      <c r="AB51" s="274">
        <f t="shared" si="13"/>
        <v>0</v>
      </c>
      <c r="AC51" s="100"/>
      <c r="AD51" s="97"/>
      <c r="AE51" s="97"/>
      <c r="AF51" s="97"/>
    </row>
    <row r="52" spans="1:54" ht="17" thickTop="1" thickBot="1">
      <c r="A52" s="29"/>
      <c r="B52" s="16"/>
      <c r="C52" s="42"/>
      <c r="D52" s="60"/>
      <c r="E52" s="113" t="s">
        <v>76</v>
      </c>
      <c r="F52" s="59">
        <f ca="1">G52*0.000568181818</f>
        <v>-6.2137005661934355E-59</v>
      </c>
      <c r="G52" s="19">
        <f ca="1">H52*1.0936113</f>
        <v>-1.0936113000000001E-55</v>
      </c>
      <c r="H52" s="129">
        <f ca="1">IF(SUM(B50:B51)=0,-1E-55,IF(TODAY()&gt;=B50,(AA51-AA47)*1000,-2E-55))</f>
        <v>-9.9999999999999999E-56</v>
      </c>
      <c r="I52" s="137"/>
      <c r="J52" s="422" t="s">
        <v>120</v>
      </c>
      <c r="K52" s="423"/>
      <c r="L52" s="423"/>
      <c r="M52" s="147"/>
      <c r="N52" s="332" t="str">
        <f>IF(R$2=1,"Distance (miles)",IF(R$2=2,"Distance (yds)",IF(R$2=3,"Distance (km)","????")))</f>
        <v>Distance (miles)</v>
      </c>
      <c r="O52" s="259"/>
      <c r="P52" s="234" t="s">
        <v>1</v>
      </c>
      <c r="Q52" s="234" t="s">
        <v>2</v>
      </c>
      <c r="R52" s="234" t="s">
        <v>3</v>
      </c>
      <c r="S52" s="234" t="s">
        <v>4</v>
      </c>
      <c r="T52" s="234" t="s">
        <v>5</v>
      </c>
      <c r="U52" s="234" t="s">
        <v>6</v>
      </c>
      <c r="V52" s="234" t="s">
        <v>7</v>
      </c>
      <c r="W52" s="259"/>
      <c r="X52" s="259"/>
      <c r="Y52" s="259"/>
      <c r="Z52" s="348"/>
      <c r="AA52" s="274"/>
      <c r="AB52" s="226"/>
      <c r="AC52" s="100"/>
      <c r="AD52" s="97"/>
      <c r="AE52" s="97"/>
    </row>
    <row r="53" spans="1:54" ht="16" thickBot="1">
      <c r="A53" s="28"/>
      <c r="B53" s="17"/>
      <c r="C53" s="39"/>
      <c r="D53" s="61"/>
      <c r="E53" s="116" t="s">
        <v>33</v>
      </c>
      <c r="F53" s="62">
        <f>G53*0.0005681818</f>
        <v>-6.2137003693434006E-59</v>
      </c>
      <c r="G53" s="63">
        <f>H53*1.0936113</f>
        <v>-1.0936113000000001E-55</v>
      </c>
      <c r="H53" s="131">
        <f>IF(SUM($O50:$O51)=0,-1E-55,SUM($O50:$O51))</f>
        <v>-9.9999999999999999E-56</v>
      </c>
      <c r="I53" s="136"/>
      <c r="J53" s="158" t="str">
        <f>'MY STATS'!AF44</f>
        <v/>
      </c>
      <c r="K53" s="159" t="str">
        <f>IF(J53="","x",J53)</f>
        <v>x</v>
      </c>
      <c r="L53" s="206" t="str">
        <f>IF(J53="","",SUMIF(K$5:K$51,K53,M$5:M$51)/1440)</f>
        <v/>
      </c>
      <c r="M53" s="207" t="str">
        <f>IF(J53="","",IF('MY STATS'!$A$15=3,SUMIF(K$5:K$51,J53,R$5:R$51)/1000,SUMIF(K$5:K$51,J53,R$5:R$51)))</f>
        <v/>
      </c>
      <c r="N53" s="333" t="str">
        <f>IF(J53="","",IF('MY STATS'!$A$15=3,SUMIF(J$5:J$51,J53,R$5:R$51)/1000,SUMIF(J$5:J$51,J53,R$5:R$51)))</f>
        <v/>
      </c>
      <c r="O53" s="353" t="s">
        <v>58</v>
      </c>
      <c r="P53" s="234">
        <f t="shared" ref="P53:V53" si="59">COUNTIFS($E$5:$E$51,P52)</f>
        <v>4</v>
      </c>
      <c r="Q53" s="234">
        <f t="shared" si="59"/>
        <v>4</v>
      </c>
      <c r="R53" s="234">
        <f t="shared" si="59"/>
        <v>4</v>
      </c>
      <c r="S53" s="234">
        <f t="shared" si="59"/>
        <v>4</v>
      </c>
      <c r="T53" s="234">
        <f t="shared" si="59"/>
        <v>4</v>
      </c>
      <c r="U53" s="234">
        <f t="shared" si="59"/>
        <v>5</v>
      </c>
      <c r="V53" s="234">
        <f t="shared" si="59"/>
        <v>5</v>
      </c>
      <c r="W53" s="259"/>
      <c r="X53" s="259"/>
      <c r="Y53" s="259"/>
      <c r="Z53" s="348"/>
      <c r="AA53" s="274"/>
      <c r="AB53" s="226"/>
      <c r="AC53" s="174"/>
      <c r="AD53" s="173"/>
      <c r="AE53" s="97"/>
    </row>
    <row r="54" spans="1:54" ht="17" thickTop="1" thickBot="1">
      <c r="A54" s="11"/>
      <c r="B54" s="11"/>
      <c r="C54" s="11"/>
      <c r="D54" s="11"/>
      <c r="E54" s="11"/>
      <c r="F54" s="11" t="s">
        <v>34</v>
      </c>
      <c r="G54" s="11" t="s">
        <v>35</v>
      </c>
      <c r="H54" s="11" t="s">
        <v>37</v>
      </c>
      <c r="I54" s="135"/>
      <c r="J54" s="160" t="str">
        <f>'MY STATS'!AG44</f>
        <v/>
      </c>
      <c r="K54" s="161" t="str">
        <f t="shared" ref="K54:K59" si="60">IF(J54="","x",J54)</f>
        <v>x</v>
      </c>
      <c r="L54" s="208" t="str">
        <f>IF(J54="","",SUMIF(K$5:K$51,K54,M$5:M$51)/1440)</f>
        <v/>
      </c>
      <c r="M54" s="209" t="str">
        <f>IF(J54="","",IF('MY STATS'!$A$15=3,SUMIF(K$5:K$51,J54,R$5:R$51)/1000,SUMIF(K$5:K$51,J54,R$5:R$51)))</f>
        <v/>
      </c>
      <c r="N54" s="334" t="str">
        <f>IF(J54="","",IF('MY STATS'!$A$15=3,SUMIF(J$5:J$51,J54,R$5:R$51)/1000,SUMIF(J$5:J$51,J54,R$5:R$51)))</f>
        <v/>
      </c>
      <c r="O54" s="353" t="s">
        <v>57</v>
      </c>
      <c r="P54" s="234">
        <f t="shared" ref="P54:V54" ca="1" si="61">COUNTIFS($D$5:$D$51,"&gt;-1",$E$5:$E$51,P52)</f>
        <v>0</v>
      </c>
      <c r="Q54" s="234">
        <f t="shared" ca="1" si="61"/>
        <v>0</v>
      </c>
      <c r="R54" s="234">
        <f t="shared" ca="1" si="61"/>
        <v>0</v>
      </c>
      <c r="S54" s="234">
        <f t="shared" ca="1" si="61"/>
        <v>0</v>
      </c>
      <c r="T54" s="234">
        <f t="shared" ca="1" si="61"/>
        <v>0</v>
      </c>
      <c r="U54" s="234">
        <f t="shared" ca="1" si="61"/>
        <v>0</v>
      </c>
      <c r="V54" s="234">
        <f t="shared" ca="1" si="61"/>
        <v>0</v>
      </c>
      <c r="W54" s="259"/>
      <c r="X54" s="259"/>
      <c r="Y54" s="259"/>
      <c r="Z54" s="348"/>
      <c r="AA54" s="274"/>
      <c r="AB54" s="226"/>
      <c r="AC54" s="100"/>
      <c r="AD54" s="97"/>
      <c r="AE54" s="97"/>
    </row>
    <row r="55" spans="1:54" ht="16" thickTop="1">
      <c r="A55" s="30"/>
      <c r="B55" s="58"/>
      <c r="C55" s="43"/>
      <c r="D55" s="43"/>
      <c r="E55" s="18" t="s">
        <v>36</v>
      </c>
      <c r="F55" s="88">
        <f>G55*0.000568181818</f>
        <v>0</v>
      </c>
      <c r="G55" s="89">
        <f>H55*1.0936113</f>
        <v>0</v>
      </c>
      <c r="H55" s="132">
        <f>AA$51*1000</f>
        <v>0</v>
      </c>
      <c r="I55" s="138"/>
      <c r="J55" s="160" t="str">
        <f>'MY STATS'!AH44</f>
        <v/>
      </c>
      <c r="K55" s="161" t="str">
        <f t="shared" si="60"/>
        <v>x</v>
      </c>
      <c r="L55" s="208" t="str">
        <f>IF(J55="","",SUMIF(K$5:K$51,K55,M$5:M$51)/1440)</f>
        <v/>
      </c>
      <c r="M55" s="209" t="str">
        <f>IF(J55="","",IF('MY STATS'!$A$15=3,SUMIF(K$5:K$51,J55,R$5:R$51)/1000,SUMIF(K$5:K$51,J55,R$5:R$51)))</f>
        <v/>
      </c>
      <c r="N55" s="334" t="str">
        <f>IF(J55="","",IF('MY STATS'!$A$15=3,SUMIF(J$5:J$51,J55,R$5:R$51)/1000,SUMIF(J$5:J$51,J55,R$5:R$51)))</f>
        <v/>
      </c>
      <c r="O55" s="353" t="s">
        <v>80</v>
      </c>
      <c r="P55" s="234">
        <f t="shared" ref="P55:V55" si="62">COUNTIFS($E$5:$E$51,P52,$R$5:$R$51,"&gt;0")</f>
        <v>0</v>
      </c>
      <c r="Q55" s="234">
        <f t="shared" si="62"/>
        <v>0</v>
      </c>
      <c r="R55" s="234">
        <f t="shared" si="62"/>
        <v>0</v>
      </c>
      <c r="S55" s="234">
        <f t="shared" si="62"/>
        <v>0</v>
      </c>
      <c r="T55" s="234">
        <f t="shared" si="62"/>
        <v>0</v>
      </c>
      <c r="U55" s="234">
        <f t="shared" si="62"/>
        <v>0</v>
      </c>
      <c r="V55" s="234">
        <f t="shared" si="62"/>
        <v>0</v>
      </c>
      <c r="W55" s="259"/>
      <c r="X55" s="259"/>
      <c r="Y55" s="259"/>
      <c r="Z55" s="348"/>
      <c r="AA55" s="274"/>
      <c r="AB55" s="226"/>
      <c r="AC55" s="100"/>
      <c r="AD55" s="97"/>
      <c r="AE55" s="97"/>
    </row>
    <row r="56" spans="1:54" ht="16" thickBot="1">
      <c r="A56" s="31"/>
      <c r="B56" s="44"/>
      <c r="C56" s="44"/>
      <c r="D56" s="44"/>
      <c r="E56" s="21" t="s">
        <v>51</v>
      </c>
      <c r="F56" s="47">
        <f>G56*0.000568181818</f>
        <v>89.75372407170552</v>
      </c>
      <c r="G56" s="48">
        <f>H56*1.0936113</f>
        <v>157966.55441675099</v>
      </c>
      <c r="H56" s="133">
        <f>SUM(H$53,H40,H31,H22,H49,H13)-1</f>
        <v>144444.8812999198</v>
      </c>
      <c r="I56" s="139"/>
      <c r="J56" s="160" t="str">
        <f>'MY STATS'!AI44</f>
        <v/>
      </c>
      <c r="K56" s="161" t="str">
        <f t="shared" si="60"/>
        <v>x</v>
      </c>
      <c r="L56" s="208" t="str">
        <f>IF(J56="","",SUMIF(K$5:K$51,K56,M$5:M$51)/1440)</f>
        <v/>
      </c>
      <c r="M56" s="209" t="str">
        <f>IF(J56="","",IF('MY STATS'!$A$15=3,SUMIF(K$5:K$51,J56,R$5:R$51)/1000,SUMIF(K$5:K$51,J56,R$5:R$51)))</f>
        <v/>
      </c>
      <c r="N56" s="334" t="str">
        <f>IF(J56="","",IF('MY STATS'!$A$15=3,SUMIF(J$5:J$51,J56,R$5:R$51)/1000,SUMIF(J$5:J$51,J56,R$5:R$51)))</f>
        <v/>
      </c>
      <c r="O56" s="353" t="s">
        <v>136</v>
      </c>
      <c r="P56" s="234"/>
      <c r="Q56" s="234"/>
      <c r="R56" s="234"/>
      <c r="S56" s="234"/>
      <c r="T56" s="234"/>
      <c r="U56" s="234"/>
      <c r="V56" s="234"/>
      <c r="W56" s="259"/>
      <c r="X56" s="259"/>
      <c r="Y56" s="259"/>
      <c r="Z56" s="348"/>
      <c r="AA56" s="274"/>
      <c r="AB56" s="226"/>
      <c r="AC56" s="100"/>
      <c r="AD56" s="97"/>
      <c r="AE56" s="97"/>
      <c r="AF56" s="15"/>
    </row>
    <row r="57" spans="1:54" ht="17" thickTop="1" thickBot="1">
      <c r="A57" s="49"/>
      <c r="B57" s="49"/>
      <c r="C57" s="49"/>
      <c r="D57" s="49"/>
      <c r="E57" s="49"/>
      <c r="F57" s="49"/>
      <c r="G57" s="49"/>
      <c r="H57" s="49"/>
      <c r="I57" s="140"/>
      <c r="J57" s="160" t="str">
        <f>'MY STATS'!AJ44</f>
        <v/>
      </c>
      <c r="K57" s="161" t="str">
        <f>IF(J57="","x",J57)</f>
        <v>x</v>
      </c>
      <c r="L57" s="208" t="str">
        <f>IF(J57="","",SUMIF(K$5:K$51,K57,M$5:M$51)/1440)</f>
        <v/>
      </c>
      <c r="M57" s="209" t="str">
        <f>IF(J57="","",IF('MY STATS'!$A$15=3,SUMIF(K$5:K$51,J57,R$5:R$51)/1000,SUMIF(K$5:K$51,J57,R$5:R$51)))</f>
        <v/>
      </c>
      <c r="N57" s="334" t="str">
        <f>IF(J57="","",IF('MY STATS'!$A$15=3,SUMIF(J$5:J$51,J57,R$5:R$51)/1000,SUMIF(J$5:J$51,J57,R$5:R$51)))</f>
        <v/>
      </c>
      <c r="O57" s="353" t="s">
        <v>126</v>
      </c>
      <c r="P57" s="339">
        <f t="shared" ref="P57:V57" si="63">SUMIF($E$5:$E$51,P52,$S$5:$S$51)</f>
        <v>0</v>
      </c>
      <c r="Q57" s="339">
        <f t="shared" si="63"/>
        <v>0</v>
      </c>
      <c r="R57" s="339">
        <f t="shared" si="63"/>
        <v>0</v>
      </c>
      <c r="S57" s="339">
        <f t="shared" si="63"/>
        <v>0</v>
      </c>
      <c r="T57" s="339">
        <f t="shared" si="63"/>
        <v>0</v>
      </c>
      <c r="U57" s="339">
        <f t="shared" si="63"/>
        <v>0</v>
      </c>
      <c r="V57" s="339">
        <f t="shared" si="63"/>
        <v>0</v>
      </c>
      <c r="W57" s="230"/>
      <c r="X57" s="230"/>
      <c r="Y57" s="230"/>
      <c r="Z57" s="234"/>
      <c r="AA57" s="230"/>
      <c r="AB57" s="226"/>
      <c r="AC57" s="100"/>
      <c r="AD57" s="97"/>
      <c r="AE57" s="97"/>
    </row>
    <row r="58" spans="1:54" ht="17" thickTop="1" thickBot="1">
      <c r="A58" s="77">
        <f>A1</f>
        <v>9</v>
      </c>
      <c r="B58" s="78"/>
      <c r="C58" s="79"/>
      <c r="D58" s="71"/>
      <c r="E58" s="72" t="s">
        <v>91</v>
      </c>
      <c r="F58" s="90">
        <f>G58*0.000568181818</f>
        <v>0</v>
      </c>
      <c r="G58" s="91">
        <f>H58*1.0936113</f>
        <v>0</v>
      </c>
      <c r="H58" s="92">
        <f>H$55+G$3</f>
        <v>0</v>
      </c>
      <c r="I58" s="140"/>
      <c r="J58" s="162" t="s">
        <v>112</v>
      </c>
      <c r="K58" s="163"/>
      <c r="L58" s="210">
        <f>L59-SUM(L53:L57)</f>
        <v>0</v>
      </c>
      <c r="M58" s="211">
        <f>(M59-SUM(M53:M57))</f>
        <v>0</v>
      </c>
      <c r="N58" s="335">
        <f>(N59-SUM(N53:N57))</f>
        <v>0</v>
      </c>
      <c r="O58" s="353" t="s">
        <v>127</v>
      </c>
      <c r="P58" s="354">
        <f>IF(COUNTIFS($E$5:$E$51,P52,$L$5:$L$51,"&gt;0")=0,0,(SUMIF($E$5:$E$51,P52,$L$5:$L$51)+IF(SUMIF($E$5:$E$51,P52,$R$5:$R$51)=0,-SUMIF($E$5:$E$51,P52,$L$5:$L$51)))/60)</f>
        <v>0</v>
      </c>
      <c r="Q58" s="354">
        <f t="shared" ref="Q58:V58" si="64">IF(COUNTIFS($E$5:$E$51,Q52,$L$5:$L$51,"&gt;0")=0,0,(SUMIF($E$5:$E$51,Q52,$L$5:$L$51)+IF(SUMIF($E$5:$E$51,Q52,$R$5:$R$51)=0,-SUMIF($E$5:$E$51,Q52,$L$5:$L$51)))/60)</f>
        <v>0</v>
      </c>
      <c r="R58" s="354">
        <f t="shared" si="64"/>
        <v>0</v>
      </c>
      <c r="S58" s="354">
        <f t="shared" si="64"/>
        <v>0</v>
      </c>
      <c r="T58" s="354">
        <f t="shared" si="64"/>
        <v>0</v>
      </c>
      <c r="U58" s="354">
        <f t="shared" si="64"/>
        <v>0</v>
      </c>
      <c r="V58" s="354">
        <f t="shared" si="64"/>
        <v>0</v>
      </c>
      <c r="W58" s="230"/>
      <c r="X58" s="230"/>
      <c r="Y58" s="230"/>
      <c r="Z58" s="234"/>
      <c r="AA58" s="230"/>
      <c r="AB58" s="226"/>
      <c r="AC58" s="100"/>
      <c r="AD58" s="97"/>
      <c r="AE58" s="97"/>
    </row>
    <row r="59" spans="1:54" ht="17" thickTop="1" thickBot="1">
      <c r="A59" s="80">
        <f>A1</f>
        <v>9</v>
      </c>
      <c r="B59" s="81"/>
      <c r="C59" s="82"/>
      <c r="D59" s="73"/>
      <c r="E59" s="74" t="s">
        <v>63</v>
      </c>
      <c r="F59" s="75">
        <f>G59*0.000568181818</f>
        <v>272.99950073760078</v>
      </c>
      <c r="G59" s="76">
        <f>H59*1.0936113</f>
        <v>480479.12145193067</v>
      </c>
      <c r="H59" s="134">
        <f>VLOOKUP($A$1,'MY STATS'!B$29:K$40,10)</f>
        <v>439350.91147277888</v>
      </c>
      <c r="I59" s="138"/>
      <c r="J59" s="164" t="s">
        <v>68</v>
      </c>
      <c r="K59" s="165" t="str">
        <f t="shared" si="60"/>
        <v>total</v>
      </c>
      <c r="L59" s="212">
        <f>(SUM(L5:L51)-L40)/1440</f>
        <v>0</v>
      </c>
      <c r="M59" s="213">
        <f>IF('MY STATS'!$A$15=3,SUM(R5:R51)/1000,SUM(R5:R51))</f>
        <v>0</v>
      </c>
      <c r="N59" s="336">
        <f>IF('MY STATS'!$A$15=3,SUM(R5:R51)/1000,SUM(R5:R51))</f>
        <v>0</v>
      </c>
      <c r="O59" s="353" t="s">
        <v>111</v>
      </c>
      <c r="P59" s="235">
        <f>IFERROR(IF('MY STATS'!$A15=1,P57/P58,IF('MY STATS'!$A15=2,P57/1760/P58,IF('MY STATS'!$A15=3,P57/1000/P58,0))),0)</f>
        <v>0</v>
      </c>
      <c r="Q59" s="235">
        <f>IFERROR(IF('MY STATS'!$A15=1,Q57/Q58,IF('MY STATS'!$A15=2,Q57/1760/Q58,IF('MY STATS'!$A15=3,Q57/1000/Q58,0))),0)</f>
        <v>0</v>
      </c>
      <c r="R59" s="235">
        <f>IFERROR(IF('MY STATS'!$A15=1,R57/R58,IF('MY STATS'!$A15=2,R57/1760/R58,IF('MY STATS'!$A15=3,R57/1000/R58,0))),0)</f>
        <v>0</v>
      </c>
      <c r="S59" s="235">
        <f>IFERROR(IF('MY STATS'!$A15=1,S57/S58,IF('MY STATS'!$A15=2,S57/1760/S58,IF('MY STATS'!$A15=3,S57/1000/S58,0))),0)</f>
        <v>0</v>
      </c>
      <c r="T59" s="235">
        <f>IFERROR(IF('MY STATS'!$A15=1,T57/T58,IF('MY STATS'!$A15=2,T57/1760/T58,IF('MY STATS'!$A15=3,T57/1000/T58,0))),0)</f>
        <v>0</v>
      </c>
      <c r="U59" s="235">
        <f>IFERROR(IF('MY STATS'!$A15=1,U57/U58,IF('MY STATS'!$A15=2,U57/1760/U58,IF('MY STATS'!$A15=3,U57/1000/U58,0))),0)</f>
        <v>0</v>
      </c>
      <c r="V59" s="235">
        <f>IFERROR(IF('MY STATS'!$A15=1,V57/V58,IF('MY STATS'!$A15=2,V57/1760/V58,IF('MY STATS'!$A15=3,V57/1000/V58,0))),0)</f>
        <v>0</v>
      </c>
      <c r="W59" s="230"/>
      <c r="X59" s="230"/>
      <c r="Y59" s="230"/>
      <c r="Z59" s="234"/>
      <c r="AA59" s="230"/>
      <c r="AB59" s="226"/>
      <c r="AC59" s="100"/>
      <c r="AD59" s="97"/>
      <c r="AE59" s="97"/>
    </row>
    <row r="60" spans="1:54" ht="16" thickTop="1"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38"/>
      <c r="AB60" s="226"/>
      <c r="AC60" s="100"/>
      <c r="AD60" s="97"/>
      <c r="AE60" s="97"/>
      <c r="AF60" s="97"/>
    </row>
    <row r="61" spans="1:54">
      <c r="O61" s="97"/>
      <c r="P61" s="97"/>
      <c r="AA61" s="3"/>
      <c r="AE61" s="97"/>
      <c r="AF61" s="97"/>
    </row>
    <row r="62" spans="1:54" ht="6.75" customHeight="1">
      <c r="O62" s="97"/>
      <c r="P62" s="97"/>
      <c r="AA62" s="3"/>
      <c r="AE62" s="97"/>
      <c r="AF62" s="97"/>
    </row>
    <row r="63" spans="1:54">
      <c r="O63" s="97"/>
      <c r="P63" s="97"/>
      <c r="AA63" s="3"/>
      <c r="AE63" s="97"/>
      <c r="AF63" s="97"/>
    </row>
    <row r="64" spans="1:54">
      <c r="O64" s="97"/>
      <c r="P64" s="97"/>
      <c r="AA64" s="3"/>
      <c r="AE64" s="97"/>
      <c r="AF64" s="97"/>
    </row>
    <row r="65" spans="27:27">
      <c r="AA65" s="3"/>
    </row>
    <row r="66" spans="27:27" s="3" customFormat="1"/>
  </sheetData>
  <sheetProtection sheet="1" objects="1" scenarios="1" selectLockedCells="1"/>
  <mergeCells count="8">
    <mergeCell ref="J49:N49"/>
    <mergeCell ref="J52:L52"/>
    <mergeCell ref="J12:N12"/>
    <mergeCell ref="J13:N13"/>
    <mergeCell ref="J21:N22"/>
    <mergeCell ref="J30:N30"/>
    <mergeCell ref="J31:N31"/>
    <mergeCell ref="J48:N48"/>
  </mergeCells>
  <conditionalFormatting sqref="B14:B20 B23:B29 B49:B51 B40:B47 B53 B31:B38 D3 B5:B11">
    <cfRule type="cellIs" dxfId="4287" priority="1374" stopIfTrue="1" operator="notBetween">
      <formula>$B$2</formula>
      <formula>$B$3</formula>
    </cfRule>
  </conditionalFormatting>
  <conditionalFormatting sqref="B14:B20 B23:B29 B49:B51 B40:B47 B53 B31:B38 D3 B5:B11">
    <cfRule type="cellIs" dxfId="4286" priority="1375" operator="greaterThan">
      <formula>$E$3</formula>
    </cfRule>
    <cfRule type="cellIs" dxfId="4285" priority="1376" operator="equal">
      <formula>$E$3</formula>
    </cfRule>
    <cfRule type="cellIs" dxfId="4284" priority="1377" operator="lessThan">
      <formula>$E$3</formula>
    </cfRule>
  </conditionalFormatting>
  <conditionalFormatting sqref="F58:H58 F55:H55">
    <cfRule type="expression" dxfId="4283" priority="1372">
      <formula>$F55&gt;=$F56</formula>
    </cfRule>
  </conditionalFormatting>
  <conditionalFormatting sqref="F5:H10 F14:G20 F23:G29 F38:H38 F41:H47 F11:G11 F32:G37">
    <cfRule type="cellIs" dxfId="4282" priority="1362" stopIfTrue="1" operator="lessThan">
      <formula>0</formula>
    </cfRule>
  </conditionalFormatting>
  <conditionalFormatting sqref="C32:C38 C41:C47 C50:C51 C14:C20 C23:C29 C5:C11">
    <cfRule type="cellIs" dxfId="4281" priority="1367" stopIfTrue="1" operator="notBetween">
      <formula>$B$2</formula>
      <formula>$B$3</formula>
    </cfRule>
  </conditionalFormatting>
  <conditionalFormatting sqref="C41:C47 C50:C51 C32:C38 C14:C20 C23:C29 C5:C11">
    <cfRule type="cellIs" dxfId="4280" priority="1368" operator="greaterThan">
      <formula>$E$3</formula>
    </cfRule>
    <cfRule type="cellIs" dxfId="4279" priority="1369" operator="equal">
      <formula>$E$3</formula>
    </cfRule>
    <cfRule type="cellIs" dxfId="4278" priority="1370" operator="lessThan">
      <formula>$E$3</formula>
    </cfRule>
  </conditionalFormatting>
  <conditionalFormatting sqref="F14:G20 F23:G29 F38:H38 F41:H47 F32:G37">
    <cfRule type="expression" dxfId="4277" priority="1366">
      <formula>$C14&lt;$E$3</formula>
    </cfRule>
  </conditionalFormatting>
  <conditionalFormatting sqref="F5:H10 F14:G20 F23:G29 F38:H38 F41:H47 F11:G11 F32:G37">
    <cfRule type="expression" dxfId="4276" priority="1363">
      <formula>$C5=$E$3</formula>
    </cfRule>
    <cfRule type="expression" dxfId="4275" priority="1364">
      <formula>$C5&lt;$E$3</formula>
    </cfRule>
    <cfRule type="cellIs" dxfId="4274" priority="1365" operator="equal">
      <formula>0</formula>
    </cfRule>
    <cfRule type="expression" dxfId="4273" priority="1371">
      <formula>$C5&gt;$E$3</formula>
    </cfRule>
  </conditionalFormatting>
  <conditionalFormatting sqref="F12:G12">
    <cfRule type="expression" dxfId="4272" priority="1361">
      <formula>$F12&gt;=$F13</formula>
    </cfRule>
  </conditionalFormatting>
  <conditionalFormatting sqref="F21:G21">
    <cfRule type="expression" dxfId="4271" priority="1360">
      <formula>$F21&gt;=$F22</formula>
    </cfRule>
  </conditionalFormatting>
  <conditionalFormatting sqref="F39:H39">
    <cfRule type="expression" dxfId="4270" priority="1359">
      <formula>$F39&gt;=$F40</formula>
    </cfRule>
  </conditionalFormatting>
  <conditionalFormatting sqref="F30:G30">
    <cfRule type="expression" dxfId="4269" priority="1358">
      <formula>$F30&gt;=$F31</formula>
    </cfRule>
  </conditionalFormatting>
  <conditionalFormatting sqref="F48:H48">
    <cfRule type="expression" dxfId="4268" priority="1356" stopIfTrue="1">
      <formula>$H$48=-1E-55</formula>
    </cfRule>
    <cfRule type="expression" dxfId="4267" priority="1357">
      <formula>$F48&gt;=$F49</formula>
    </cfRule>
  </conditionalFormatting>
  <conditionalFormatting sqref="F14:G20 F23:G29 F38:H38 F41:H47 F32:G37">
    <cfRule type="expression" dxfId="4266" priority="1355">
      <formula>$C14&lt;$E$3</formula>
    </cfRule>
  </conditionalFormatting>
  <conditionalFormatting sqref="F14:G20 F5:H10 F23:G29 F38:H38 F41:H47 F11:G11 F32:G37">
    <cfRule type="expression" dxfId="4265" priority="1351">
      <formula>$C5=$E$3</formula>
    </cfRule>
    <cfRule type="expression" dxfId="4264" priority="1352">
      <formula>$C5&lt;$E$3</formula>
    </cfRule>
    <cfRule type="cellIs" dxfId="4263" priority="1353" operator="equal">
      <formula>0</formula>
    </cfRule>
    <cfRule type="expression" dxfId="4262" priority="1354">
      <formula>$C5&gt;$E$3</formula>
    </cfRule>
  </conditionalFormatting>
  <conditionalFormatting sqref="F12:G12">
    <cfRule type="expression" dxfId="4261" priority="1350">
      <formula>$F12&gt;=$F13</formula>
    </cfRule>
  </conditionalFormatting>
  <conditionalFormatting sqref="F21:G21">
    <cfRule type="expression" dxfId="4260" priority="1349">
      <formula>$F21&gt;=$F22</formula>
    </cfRule>
  </conditionalFormatting>
  <conditionalFormatting sqref="F39:H39">
    <cfRule type="expression" dxfId="4259" priority="1348">
      <formula>$F39&gt;=$F40</formula>
    </cfRule>
  </conditionalFormatting>
  <conditionalFormatting sqref="F30:G30">
    <cfRule type="expression" dxfId="4258" priority="1347">
      <formula>$F30&gt;=$F31</formula>
    </cfRule>
  </conditionalFormatting>
  <conditionalFormatting sqref="F48:H48">
    <cfRule type="expression" dxfId="4257" priority="1345" stopIfTrue="1">
      <formula>$E$41=""</formula>
    </cfRule>
    <cfRule type="expression" dxfId="4256" priority="1346">
      <formula>$F48&gt;=$F49</formula>
    </cfRule>
  </conditionalFormatting>
  <conditionalFormatting sqref="F41:H47">
    <cfRule type="expression" dxfId="4255" priority="1344">
      <formula>$E41=""</formula>
    </cfRule>
  </conditionalFormatting>
  <conditionalFormatting sqref="F47:H47">
    <cfRule type="expression" dxfId="4254" priority="1343">
      <formula>$E$46=""</formula>
    </cfRule>
  </conditionalFormatting>
  <conditionalFormatting sqref="F45:H45">
    <cfRule type="expression" dxfId="4253" priority="1342">
      <formula>$E45=""</formula>
    </cfRule>
  </conditionalFormatting>
  <conditionalFormatting sqref="F5:H10 F11:G11">
    <cfRule type="expression" dxfId="4252" priority="1341">
      <formula>$C5&lt;$E$3</formula>
    </cfRule>
  </conditionalFormatting>
  <conditionalFormatting sqref="F5:H10 F11:G11">
    <cfRule type="expression" dxfId="4251" priority="1340">
      <formula>$E5=""</formula>
    </cfRule>
  </conditionalFormatting>
  <conditionalFormatting sqref="F5:H10 F11:G11">
    <cfRule type="expression" dxfId="4250" priority="1336">
      <formula>$C5=$E$3</formula>
    </cfRule>
    <cfRule type="expression" dxfId="4249" priority="1337">
      <formula>$C5&lt;$E$3</formula>
    </cfRule>
    <cfRule type="cellIs" dxfId="4248" priority="1338" operator="equal">
      <formula>0</formula>
    </cfRule>
    <cfRule type="expression" dxfId="4247" priority="1339">
      <formula>$C5&gt;$E$3</formula>
    </cfRule>
  </conditionalFormatting>
  <conditionalFormatting sqref="F5:H10 F11:G11">
    <cfRule type="expression" dxfId="4246" priority="1335">
      <formula>$C5&lt;$E$3</formula>
    </cfRule>
  </conditionalFormatting>
  <conditionalFormatting sqref="F5:H10 F11:G11">
    <cfRule type="expression" dxfId="4245" priority="1334">
      <formula>$E5=""</formula>
    </cfRule>
  </conditionalFormatting>
  <conditionalFormatting sqref="F14:G20">
    <cfRule type="expression" dxfId="4244" priority="1333">
      <formula>$C14&lt;$E$3</formula>
    </cfRule>
  </conditionalFormatting>
  <conditionalFormatting sqref="F14:G20">
    <cfRule type="expression" dxfId="4243" priority="1329">
      <formula>$C14=$E$3</formula>
    </cfRule>
    <cfRule type="expression" dxfId="4242" priority="1330">
      <formula>$C14&lt;$E$3</formula>
    </cfRule>
    <cfRule type="cellIs" dxfId="4241" priority="1331" operator="equal">
      <formula>0</formula>
    </cfRule>
    <cfRule type="expression" dxfId="4240" priority="1332">
      <formula>$C14&gt;$E$3</formula>
    </cfRule>
  </conditionalFormatting>
  <conditionalFormatting sqref="F5:H10 F11:G11">
    <cfRule type="expression" dxfId="4239" priority="1328">
      <formula>$C5&lt;$E$3</formula>
    </cfRule>
  </conditionalFormatting>
  <conditionalFormatting sqref="F5:H10 F11:G11">
    <cfRule type="expression" dxfId="4238" priority="1324">
      <formula>$C5=$E$3</formula>
    </cfRule>
    <cfRule type="expression" dxfId="4237" priority="1325">
      <formula>$C5&lt;$E$3</formula>
    </cfRule>
    <cfRule type="cellIs" dxfId="4236" priority="1326" operator="equal">
      <formula>0</formula>
    </cfRule>
    <cfRule type="expression" dxfId="4235" priority="1327">
      <formula>$C5&gt;$E$3</formula>
    </cfRule>
  </conditionalFormatting>
  <conditionalFormatting sqref="F5:H10 F11:G11">
    <cfRule type="expression" dxfId="4234" priority="1323">
      <formula>$E5=""</formula>
    </cfRule>
  </conditionalFormatting>
  <conditionalFormatting sqref="F5:H10 F11:G11">
    <cfRule type="expression" dxfId="4233" priority="1322">
      <formula>$C5&lt;$E$3</formula>
    </cfRule>
  </conditionalFormatting>
  <conditionalFormatting sqref="F5:H10 F11:G11">
    <cfRule type="expression" dxfId="4232" priority="1321">
      <formula>$E5=""</formula>
    </cfRule>
  </conditionalFormatting>
  <conditionalFormatting sqref="F5:H10 F11:G11">
    <cfRule type="expression" dxfId="4231" priority="1320">
      <formula>$E5=""</formula>
    </cfRule>
  </conditionalFormatting>
  <conditionalFormatting sqref="F5:H10 F11:G11">
    <cfRule type="expression" dxfId="4230" priority="1319">
      <formula>$C5&lt;$E$3</formula>
    </cfRule>
  </conditionalFormatting>
  <conditionalFormatting sqref="F5:H10 F11:G11">
    <cfRule type="expression" dxfId="4229" priority="1318">
      <formula>$E5=""</formula>
    </cfRule>
  </conditionalFormatting>
  <conditionalFormatting sqref="F5:H10 F11:G11">
    <cfRule type="expression" dxfId="4228" priority="1317">
      <formula>$C5&lt;$E$3</formula>
    </cfRule>
  </conditionalFormatting>
  <conditionalFormatting sqref="F5:H10 F11:G11">
    <cfRule type="expression" dxfId="4227" priority="1316">
      <formula>$E5=""</formula>
    </cfRule>
  </conditionalFormatting>
  <conditionalFormatting sqref="F5:H10 F11:G11">
    <cfRule type="expression" dxfId="4226" priority="1315">
      <formula>$C5&lt;$E$3</formula>
    </cfRule>
  </conditionalFormatting>
  <conditionalFormatting sqref="F5:H10 F11:G11">
    <cfRule type="expression" dxfId="4225" priority="1314">
      <formula>$E5=""</formula>
    </cfRule>
  </conditionalFormatting>
  <conditionalFormatting sqref="F14:G20">
    <cfRule type="expression" dxfId="4224" priority="1313">
      <formula>$C14&lt;$E$3</formula>
    </cfRule>
  </conditionalFormatting>
  <conditionalFormatting sqref="F14:G20">
    <cfRule type="expression" dxfId="4223" priority="1309">
      <formula>$C14=$E$3</formula>
    </cfRule>
    <cfRule type="expression" dxfId="4222" priority="1310">
      <formula>$C14&lt;$E$3</formula>
    </cfRule>
    <cfRule type="cellIs" dxfId="4221" priority="1311" operator="equal">
      <formula>0</formula>
    </cfRule>
    <cfRule type="expression" dxfId="4220" priority="1312">
      <formula>$C14&gt;$E$3</formula>
    </cfRule>
  </conditionalFormatting>
  <conditionalFormatting sqref="F14:G20">
    <cfRule type="expression" dxfId="4219" priority="1308">
      <formula>$E14=""</formula>
    </cfRule>
  </conditionalFormatting>
  <conditionalFormatting sqref="F14:G20">
    <cfRule type="expression" dxfId="4218" priority="1307">
      <formula>$C14&lt;$E$3</formula>
    </cfRule>
  </conditionalFormatting>
  <conditionalFormatting sqref="F14:G20">
    <cfRule type="expression" dxfId="4217" priority="1306">
      <formula>$E14=""</formula>
    </cfRule>
  </conditionalFormatting>
  <conditionalFormatting sqref="F14:G20">
    <cfRule type="expression" dxfId="4216" priority="1305">
      <formula>$E14=""</formula>
    </cfRule>
  </conditionalFormatting>
  <conditionalFormatting sqref="F14:G20">
    <cfRule type="expression" dxfId="4215" priority="1304">
      <formula>$C14&lt;$E$3</formula>
    </cfRule>
  </conditionalFormatting>
  <conditionalFormatting sqref="F14:G20">
    <cfRule type="expression" dxfId="4214" priority="1303">
      <formula>$E14=""</formula>
    </cfRule>
  </conditionalFormatting>
  <conditionalFormatting sqref="F14:G20">
    <cfRule type="expression" dxfId="4213" priority="1302">
      <formula>$C14&lt;$E$3</formula>
    </cfRule>
  </conditionalFormatting>
  <conditionalFormatting sqref="F14:G20">
    <cfRule type="expression" dxfId="4212" priority="1301">
      <formula>$E14=""</formula>
    </cfRule>
  </conditionalFormatting>
  <conditionalFormatting sqref="F14:G20">
    <cfRule type="expression" dxfId="4211" priority="1300">
      <formula>$C14&lt;$E$3</formula>
    </cfRule>
  </conditionalFormatting>
  <conditionalFormatting sqref="F14:G20">
    <cfRule type="expression" dxfId="4210" priority="1299">
      <formula>$E14=""</formula>
    </cfRule>
  </conditionalFormatting>
  <conditionalFormatting sqref="F23:G29">
    <cfRule type="expression" dxfId="4209" priority="1298">
      <formula>$C23&lt;$E$3</formula>
    </cfRule>
  </conditionalFormatting>
  <conditionalFormatting sqref="F23:G29">
    <cfRule type="expression" dxfId="4208" priority="1294">
      <formula>$C23=$E$3</formula>
    </cfRule>
    <cfRule type="expression" dxfId="4207" priority="1295">
      <formula>$C23&lt;$E$3</formula>
    </cfRule>
    <cfRule type="cellIs" dxfId="4206" priority="1296" operator="equal">
      <formula>0</formula>
    </cfRule>
    <cfRule type="expression" dxfId="4205" priority="1297">
      <formula>$C23&gt;$E$3</formula>
    </cfRule>
  </conditionalFormatting>
  <conditionalFormatting sqref="F23:G29">
    <cfRule type="expression" dxfId="4204" priority="1293">
      <formula>$C23&lt;$E$3</formula>
    </cfRule>
  </conditionalFormatting>
  <conditionalFormatting sqref="F23:G29">
    <cfRule type="expression" dxfId="4203" priority="1289">
      <formula>$C23=$E$3</formula>
    </cfRule>
    <cfRule type="expression" dxfId="4202" priority="1290">
      <formula>$C23&lt;$E$3</formula>
    </cfRule>
    <cfRule type="cellIs" dxfId="4201" priority="1291" operator="equal">
      <formula>0</formula>
    </cfRule>
    <cfRule type="expression" dxfId="4200" priority="1292">
      <formula>$C23&gt;$E$3</formula>
    </cfRule>
  </conditionalFormatting>
  <conditionalFormatting sqref="F23:G29">
    <cfRule type="expression" dxfId="4199" priority="1288">
      <formula>$E23=""</formula>
    </cfRule>
  </conditionalFormatting>
  <conditionalFormatting sqref="F23:G29">
    <cfRule type="expression" dxfId="4198" priority="1287">
      <formula>$C23&lt;$E$3</formula>
    </cfRule>
  </conditionalFormatting>
  <conditionalFormatting sqref="F23:G29">
    <cfRule type="expression" dxfId="4197" priority="1286">
      <formula>$E23=""</formula>
    </cfRule>
  </conditionalFormatting>
  <conditionalFormatting sqref="F23:G29">
    <cfRule type="expression" dxfId="4196" priority="1285">
      <formula>$E23=""</formula>
    </cfRule>
  </conditionalFormatting>
  <conditionalFormatting sqref="F23:G29">
    <cfRule type="expression" dxfId="4195" priority="1284">
      <formula>$C23&lt;$E$3</formula>
    </cfRule>
  </conditionalFormatting>
  <conditionalFormatting sqref="F23:G29">
    <cfRule type="expression" dxfId="4194" priority="1283">
      <formula>$E23=""</formula>
    </cfRule>
  </conditionalFormatting>
  <conditionalFormatting sqref="F23:G29">
    <cfRule type="expression" dxfId="4193" priority="1282">
      <formula>$C23&lt;$E$3</formula>
    </cfRule>
  </conditionalFormatting>
  <conditionalFormatting sqref="F23:G29">
    <cfRule type="expression" dxfId="4192" priority="1281">
      <formula>$E23=""</formula>
    </cfRule>
  </conditionalFormatting>
  <conditionalFormatting sqref="F23:G29">
    <cfRule type="expression" dxfId="4191" priority="1280">
      <formula>$C23&lt;$E$3</formula>
    </cfRule>
  </conditionalFormatting>
  <conditionalFormatting sqref="F23:G29">
    <cfRule type="expression" dxfId="4190" priority="1279">
      <formula>$E23=""</formula>
    </cfRule>
  </conditionalFormatting>
  <conditionalFormatting sqref="F38:H38 F32:G37">
    <cfRule type="expression" dxfId="4189" priority="1278">
      <formula>$C32&lt;$E$3</formula>
    </cfRule>
  </conditionalFormatting>
  <conditionalFormatting sqref="F38:H38 F32:G37">
    <cfRule type="expression" dxfId="4188" priority="1274">
      <formula>$C32=$E$3</formula>
    </cfRule>
    <cfRule type="expression" dxfId="4187" priority="1275">
      <formula>$C32&lt;$E$3</formula>
    </cfRule>
    <cfRule type="cellIs" dxfId="4186" priority="1276" operator="equal">
      <formula>0</formula>
    </cfRule>
    <cfRule type="expression" dxfId="4185" priority="1277">
      <formula>$C32&gt;$E$3</formula>
    </cfRule>
  </conditionalFormatting>
  <conditionalFormatting sqref="F38:H38 F32:G37">
    <cfRule type="expression" dxfId="4184" priority="1273">
      <formula>$C32&lt;$E$3</formula>
    </cfRule>
  </conditionalFormatting>
  <conditionalFormatting sqref="F38:H38 F32:G37">
    <cfRule type="expression" dxfId="4183" priority="1269">
      <formula>$C32=$E$3</formula>
    </cfRule>
    <cfRule type="expression" dxfId="4182" priority="1270">
      <formula>$C32&lt;$E$3</formula>
    </cfRule>
    <cfRule type="cellIs" dxfId="4181" priority="1271" operator="equal">
      <formula>0</formula>
    </cfRule>
    <cfRule type="expression" dxfId="4180" priority="1272">
      <formula>$C32&gt;$E$3</formula>
    </cfRule>
  </conditionalFormatting>
  <conditionalFormatting sqref="F38:H38 F32:G37">
    <cfRule type="expression" dxfId="4179" priority="1268">
      <formula>$E32=""</formula>
    </cfRule>
  </conditionalFormatting>
  <conditionalFormatting sqref="F38:H38 F32:G37">
    <cfRule type="expression" dxfId="4178" priority="1267">
      <formula>$C32&lt;$E$3</formula>
    </cfRule>
  </conditionalFormatting>
  <conditionalFormatting sqref="F38:H38 F32:G37">
    <cfRule type="expression" dxfId="4177" priority="1266">
      <formula>$E32=""</formula>
    </cfRule>
  </conditionalFormatting>
  <conditionalFormatting sqref="F38:H38 F32:G37">
    <cfRule type="expression" dxfId="4176" priority="1265">
      <formula>$E32=""</formula>
    </cfRule>
  </conditionalFormatting>
  <conditionalFormatting sqref="F38:H38 F32:G37">
    <cfRule type="expression" dxfId="4175" priority="1264">
      <formula>$C32&lt;$E$3</formula>
    </cfRule>
  </conditionalFormatting>
  <conditionalFormatting sqref="F38:H38 F32:G37">
    <cfRule type="expression" dxfId="4174" priority="1263">
      <formula>$E32=""</formula>
    </cfRule>
  </conditionalFormatting>
  <conditionalFormatting sqref="F38:H38 F32:G37">
    <cfRule type="expression" dxfId="4173" priority="1262">
      <formula>$C32&lt;$E$3</formula>
    </cfRule>
  </conditionalFormatting>
  <conditionalFormatting sqref="F38:H38 F32:G37">
    <cfRule type="expression" dxfId="4172" priority="1261">
      <formula>$E32=""</formula>
    </cfRule>
  </conditionalFormatting>
  <conditionalFormatting sqref="F38:H38 F32:G37">
    <cfRule type="expression" dxfId="4171" priority="1260">
      <formula>$C32&lt;$E$3</formula>
    </cfRule>
  </conditionalFormatting>
  <conditionalFormatting sqref="F38:H38 F32:G37">
    <cfRule type="expression" dxfId="4170" priority="1259">
      <formula>$E32=""</formula>
    </cfRule>
  </conditionalFormatting>
  <conditionalFormatting sqref="F41:H47">
    <cfRule type="expression" dxfId="4169" priority="1258">
      <formula>$C41&lt;$E$3</formula>
    </cfRule>
  </conditionalFormatting>
  <conditionalFormatting sqref="F41:H47">
    <cfRule type="expression" dxfId="4168" priority="1254">
      <formula>$C41=$E$3</formula>
    </cfRule>
    <cfRule type="expression" dxfId="4167" priority="1255">
      <formula>$C41&lt;$E$3</formula>
    </cfRule>
    <cfRule type="cellIs" dxfId="4166" priority="1256" operator="equal">
      <formula>0</formula>
    </cfRule>
    <cfRule type="expression" dxfId="4165" priority="1257">
      <formula>$C41&gt;$E$3</formula>
    </cfRule>
  </conditionalFormatting>
  <conditionalFormatting sqref="F41:H47">
    <cfRule type="expression" dxfId="4164" priority="1253">
      <formula>$C41&lt;$E$3</formula>
    </cfRule>
  </conditionalFormatting>
  <conditionalFormatting sqref="F41:H47">
    <cfRule type="expression" dxfId="4163" priority="1249">
      <formula>$C41=$E$3</formula>
    </cfRule>
    <cfRule type="expression" dxfId="4162" priority="1250">
      <formula>$C41&lt;$E$3</formula>
    </cfRule>
    <cfRule type="cellIs" dxfId="4161" priority="1251" operator="equal">
      <formula>0</formula>
    </cfRule>
    <cfRule type="expression" dxfId="4160" priority="1252">
      <formula>$C41&gt;$E$3</formula>
    </cfRule>
  </conditionalFormatting>
  <conditionalFormatting sqref="F41:H47">
    <cfRule type="expression" dxfId="4159" priority="1248">
      <formula>$E41=""</formula>
    </cfRule>
  </conditionalFormatting>
  <conditionalFormatting sqref="F41:H47">
    <cfRule type="expression" dxfId="4158" priority="1247">
      <formula>$C41&lt;$E$3</formula>
    </cfRule>
  </conditionalFormatting>
  <conditionalFormatting sqref="F41:H47">
    <cfRule type="expression" dxfId="4157" priority="1246">
      <formula>$E41=""</formula>
    </cfRule>
  </conditionalFormatting>
  <conditionalFormatting sqref="F41:H47">
    <cfRule type="expression" dxfId="4156" priority="1245">
      <formula>$E41=""</formula>
    </cfRule>
  </conditionalFormatting>
  <conditionalFormatting sqref="F41:H47">
    <cfRule type="expression" dxfId="4155" priority="1244">
      <formula>$C41&lt;$E$3</formula>
    </cfRule>
  </conditionalFormatting>
  <conditionalFormatting sqref="F41:H47">
    <cfRule type="expression" dxfId="4154" priority="1243">
      <formula>$E41=""</formula>
    </cfRule>
  </conditionalFormatting>
  <conditionalFormatting sqref="F41:H47">
    <cfRule type="expression" dxfId="4153" priority="1242">
      <formula>$C41&lt;$E$3</formula>
    </cfRule>
  </conditionalFormatting>
  <conditionalFormatting sqref="F41:H47">
    <cfRule type="expression" dxfId="4152" priority="1241">
      <formula>$E41=""</formula>
    </cfRule>
  </conditionalFormatting>
  <conditionalFormatting sqref="F41:H47">
    <cfRule type="expression" dxfId="4151" priority="1240">
      <formula>$C41&lt;$E$3</formula>
    </cfRule>
  </conditionalFormatting>
  <conditionalFormatting sqref="F41:H47">
    <cfRule type="expression" dxfId="4150" priority="1239">
      <formula>$E41=""</formula>
    </cfRule>
  </conditionalFormatting>
  <conditionalFormatting sqref="F50:H51">
    <cfRule type="cellIs" dxfId="4149" priority="1238" stopIfTrue="1" operator="lessThan">
      <formula>0</formula>
    </cfRule>
  </conditionalFormatting>
  <conditionalFormatting sqref="F50:H51">
    <cfRule type="expression" dxfId="4148" priority="1237">
      <formula>$C50&lt;$E$3</formula>
    </cfRule>
  </conditionalFormatting>
  <conditionalFormatting sqref="F50:H51">
    <cfRule type="expression" dxfId="4147" priority="1233">
      <formula>$C50=$E$3</formula>
    </cfRule>
    <cfRule type="expression" dxfId="4146" priority="1234">
      <formula>$C50&lt;$E$3</formula>
    </cfRule>
    <cfRule type="cellIs" dxfId="4145" priority="1235" operator="equal">
      <formula>0</formula>
    </cfRule>
    <cfRule type="expression" dxfId="4144" priority="1236">
      <formula>$C50&gt;$E$3</formula>
    </cfRule>
  </conditionalFormatting>
  <conditionalFormatting sqref="F50:H51">
    <cfRule type="expression" dxfId="4143" priority="1232">
      <formula>$C50&lt;$E$3</formula>
    </cfRule>
  </conditionalFormatting>
  <conditionalFormatting sqref="F50:H51">
    <cfRule type="expression" dxfId="4142" priority="1228">
      <formula>$C50=$E$3</formula>
    </cfRule>
    <cfRule type="expression" dxfId="4141" priority="1229">
      <formula>$C50&lt;$E$3</formula>
    </cfRule>
    <cfRule type="cellIs" dxfId="4140" priority="1230" operator="equal">
      <formula>0</formula>
    </cfRule>
    <cfRule type="expression" dxfId="4139" priority="1231">
      <formula>$C50&gt;$E$3</formula>
    </cfRule>
  </conditionalFormatting>
  <conditionalFormatting sqref="F50:H51">
    <cfRule type="expression" dxfId="4138" priority="1227">
      <formula>$C50&lt;$E$3</formula>
    </cfRule>
  </conditionalFormatting>
  <conditionalFormatting sqref="F50:H51">
    <cfRule type="expression" dxfId="4137" priority="1223">
      <formula>$C50=$E$3</formula>
    </cfRule>
    <cfRule type="expression" dxfId="4136" priority="1224">
      <formula>$C50&lt;$E$3</formula>
    </cfRule>
    <cfRule type="cellIs" dxfId="4135" priority="1225" operator="equal">
      <formula>0</formula>
    </cfRule>
    <cfRule type="expression" dxfId="4134" priority="1226">
      <formula>$C50&gt;$E$3</formula>
    </cfRule>
  </conditionalFormatting>
  <conditionalFormatting sqref="F50:H51">
    <cfRule type="expression" dxfId="4133" priority="1222">
      <formula>$C50&lt;$E$3</formula>
    </cfRule>
  </conditionalFormatting>
  <conditionalFormatting sqref="F50:H51">
    <cfRule type="expression" dxfId="4132" priority="1218">
      <formula>$C50=$E$3</formula>
    </cfRule>
    <cfRule type="expression" dxfId="4131" priority="1219">
      <formula>$C50&lt;$E$3</formula>
    </cfRule>
    <cfRule type="cellIs" dxfId="4130" priority="1220" operator="equal">
      <formula>0</formula>
    </cfRule>
    <cfRule type="expression" dxfId="4129" priority="1221">
      <formula>$C50&gt;$E$3</formula>
    </cfRule>
  </conditionalFormatting>
  <conditionalFormatting sqref="F50:H51">
    <cfRule type="expression" dxfId="4128" priority="1217">
      <formula>$E50=""</formula>
    </cfRule>
  </conditionalFormatting>
  <conditionalFormatting sqref="F50:H51">
    <cfRule type="expression" dxfId="4127" priority="1216">
      <formula>$C50&lt;$E$3</formula>
    </cfRule>
  </conditionalFormatting>
  <conditionalFormatting sqref="F50:H51">
    <cfRule type="expression" dxfId="4126" priority="1215">
      <formula>$E50=""</formula>
    </cfRule>
  </conditionalFormatting>
  <conditionalFormatting sqref="F50:H51">
    <cfRule type="expression" dxfId="4125" priority="1214">
      <formula>$E50=""</formula>
    </cfRule>
  </conditionalFormatting>
  <conditionalFormatting sqref="F50:H51">
    <cfRule type="expression" dxfId="4124" priority="1213">
      <formula>$C50&lt;$E$3</formula>
    </cfRule>
  </conditionalFormatting>
  <conditionalFormatting sqref="F50:H51">
    <cfRule type="expression" dxfId="4123" priority="1212">
      <formula>$E50=""</formula>
    </cfRule>
  </conditionalFormatting>
  <conditionalFormatting sqref="F50:H51">
    <cfRule type="expression" dxfId="4122" priority="1211">
      <formula>$C50&lt;$E$3</formula>
    </cfRule>
  </conditionalFormatting>
  <conditionalFormatting sqref="F50:H51">
    <cfRule type="expression" dxfId="4121" priority="1210">
      <formula>$E50=""</formula>
    </cfRule>
  </conditionalFormatting>
  <conditionalFormatting sqref="F50:H51">
    <cfRule type="expression" dxfId="4120" priority="1209">
      <formula>$C50&lt;$E$3</formula>
    </cfRule>
  </conditionalFormatting>
  <conditionalFormatting sqref="F50:H51">
    <cfRule type="expression" dxfId="4119" priority="1208">
      <formula>$E50=""</formula>
    </cfRule>
  </conditionalFormatting>
  <conditionalFormatting sqref="E14:E20 E5:E11 E41:E47 E32:E38 E23:E29 E50:E51">
    <cfRule type="containsText" dxfId="4118" priority="1201" operator="containsText" text="Sa">
      <formula>NOT(ISERROR(SEARCH("Sa",E5)))</formula>
    </cfRule>
    <cfRule type="containsText" dxfId="4117" priority="1203" operator="containsText" text="Fr">
      <formula>NOT(ISERROR(SEARCH("Fr",E5)))</formula>
    </cfRule>
    <cfRule type="containsText" dxfId="4116" priority="1204" operator="containsText" text="Th">
      <formula>NOT(ISERROR(SEARCH("Th",E5)))</formula>
    </cfRule>
  </conditionalFormatting>
  <conditionalFormatting sqref="E14:E20 E5:E11 E41:E47 E32:E38 E23:E29 E50:E51">
    <cfRule type="containsText" dxfId="4115" priority="1205" operator="containsText" text="Wed">
      <formula>NOT(ISERROR(SEARCH("Wed",E5)))</formula>
    </cfRule>
    <cfRule type="containsText" dxfId="4114" priority="1206" operator="containsText" text="Tu">
      <formula>NOT(ISERROR(SEARCH("Tu",E5)))</formula>
    </cfRule>
    <cfRule type="beginsWith" dxfId="4113" priority="1207" operator="beginsWith" text="M">
      <formula>LEFT(E5,1)="M"</formula>
    </cfRule>
  </conditionalFormatting>
  <conditionalFormatting sqref="E14:E20 E5:E11 E41:E47 E32:E38 E23:E29 E50:E51">
    <cfRule type="containsText" dxfId="4112" priority="1202" operator="containsText" text="Su">
      <formula>NOT(ISERROR(SEARCH("Su",E5)))</formula>
    </cfRule>
  </conditionalFormatting>
  <conditionalFormatting sqref="C4">
    <cfRule type="cellIs" dxfId="4111" priority="1197" stopIfTrue="1" operator="notBetween">
      <formula>$B$2</formula>
      <formula>$B$3</formula>
    </cfRule>
  </conditionalFormatting>
  <conditionalFormatting sqref="C4">
    <cfRule type="cellIs" dxfId="4110" priority="1198" operator="greaterThan">
      <formula>$E$3</formula>
    </cfRule>
    <cfRule type="cellIs" dxfId="4109" priority="1199" operator="equal">
      <formula>$E$3</formula>
    </cfRule>
    <cfRule type="cellIs" dxfId="4108" priority="1200" operator="lessThan">
      <formula>$E$3</formula>
    </cfRule>
  </conditionalFormatting>
  <conditionalFormatting sqref="J23:J29 J14:J20 J5:J11 J50:J51 L5:N11 L14:M20 L23:M29 J41:J47 L50:N51 J32:J38 L32:M38 N15:N16 N18 L41:N47">
    <cfRule type="cellIs" dxfId="4107" priority="1196" stopIfTrue="1" operator="lessThan">
      <formula>0</formula>
    </cfRule>
  </conditionalFormatting>
  <conditionalFormatting sqref="J5:J11 J50:J51 L5:M11 L50:M51 J14:J20 J23:J29 J41:J47 J32:J38 L14:M20 L23:M29 L32:M38 L41:M47">
    <cfRule type="expression" dxfId="4106" priority="1194">
      <formula>$C5&lt;$E$3</formula>
    </cfRule>
  </conditionalFormatting>
  <conditionalFormatting sqref="J5:J11 J50:J51 L5:M11 L50:M51 J14:J20 J23:J29 J41:J47 J32:J38 L14:M20 L23:M29 L32:M38 L41:M47">
    <cfRule type="expression" dxfId="4105" priority="1191">
      <formula>$C5=$E$3</formula>
    </cfRule>
    <cfRule type="expression" dxfId="4104" priority="1192">
      <formula>$C5&lt;$E$3</formula>
    </cfRule>
    <cfRule type="cellIs" dxfId="4103" priority="1193" operator="equal">
      <formula>0</formula>
    </cfRule>
    <cfRule type="expression" dxfId="4102" priority="1195">
      <formula>$C5&gt;$E$3</formula>
    </cfRule>
  </conditionalFormatting>
  <conditionalFormatting sqref="J5:J11 J50:J51 L5:M11 L50:M51 J14:J20 J23:J29 J41:J47 J32:J38 L14:M20 L23:M29 L32:M38 L41:M47">
    <cfRule type="expression" dxfId="4101" priority="1190">
      <formula>$E5=""</formula>
    </cfRule>
  </conditionalFormatting>
  <conditionalFormatting sqref="J5:J11 J50:J51 L5:M11 L50:M51 J23:J29 J41:J47 J32:J38 J14:J20 L14:M20 L23:M29 L32:M38 L41:M47">
    <cfRule type="expression" dxfId="4100" priority="1189">
      <formula>$E5=""</formula>
    </cfRule>
  </conditionalFormatting>
  <conditionalFormatting sqref="J5:J11 J50:J51 L5:M11 L50:M51 J23:J29 J41:J47 J32:J38 J14:J20 L14:M20 L23:M29 L32:M38 L41:M47">
    <cfRule type="expression" dxfId="4099" priority="1188">
      <formula>$E5=""</formula>
    </cfRule>
  </conditionalFormatting>
  <conditionalFormatting sqref="M5:M11 M14:M20 M23:M29 M32:M38 M41:M47 M50:M51">
    <cfRule type="expression" dxfId="4098" priority="1187">
      <formula>$C5&lt;$E$3</formula>
    </cfRule>
  </conditionalFormatting>
  <conditionalFormatting sqref="M5:M11 M14:M20 M23:M29 M32:M38 M41:M47 M50:M51">
    <cfRule type="expression" dxfId="4097" priority="1183">
      <formula>$C5=$E$3</formula>
    </cfRule>
    <cfRule type="expression" dxfId="4096" priority="1184">
      <formula>$C5&lt;$E$3</formula>
    </cfRule>
    <cfRule type="cellIs" dxfId="4095" priority="1185" operator="equal">
      <formula>0</formula>
    </cfRule>
    <cfRule type="expression" dxfId="4094" priority="1186">
      <formula>$C5&gt;$E$3</formula>
    </cfRule>
  </conditionalFormatting>
  <conditionalFormatting sqref="M5:M11 M14:M20 M23:M29 M32:M38 M41:M47 M50:M51">
    <cfRule type="expression" dxfId="4093" priority="1182">
      <formula>$C5&lt;$E$3</formula>
    </cfRule>
  </conditionalFormatting>
  <conditionalFormatting sqref="M5:M11 M14:M20 M23:M29 M32:M38 M41:M47 M50:M51">
    <cfRule type="expression" dxfId="4092" priority="1178">
      <formula>$C5=$E$3</formula>
    </cfRule>
    <cfRule type="expression" dxfId="4091" priority="1179">
      <formula>$C5&lt;$E$3</formula>
    </cfRule>
    <cfRule type="cellIs" dxfId="4090" priority="1180" operator="equal">
      <formula>0</formula>
    </cfRule>
    <cfRule type="expression" dxfId="4089" priority="1181">
      <formula>$C5&gt;$E$3</formula>
    </cfRule>
  </conditionalFormatting>
  <conditionalFormatting sqref="M5:M11 M14:M20 M23:M29 M32:M38 M41:M47 M50:M51">
    <cfRule type="expression" dxfId="4088" priority="1177">
      <formula>$C5&lt;$E$3</formula>
    </cfRule>
  </conditionalFormatting>
  <conditionalFormatting sqref="M5:M11 M14:M20 M23:M29 M32:M38 M41:M47 M50:M51">
    <cfRule type="expression" dxfId="4087" priority="1173">
      <formula>$C5=$E$3</formula>
    </cfRule>
    <cfRule type="expression" dxfId="4086" priority="1174">
      <formula>$C5&lt;$E$3</formula>
    </cfRule>
    <cfRule type="cellIs" dxfId="4085" priority="1175" operator="equal">
      <formula>0</formula>
    </cfRule>
    <cfRule type="expression" dxfId="4084" priority="1176">
      <formula>$C5&gt;$E$3</formula>
    </cfRule>
  </conditionalFormatting>
  <conditionalFormatting sqref="M5:M11 M14:M20 M23:M29 M32:M38 M41:M47 M50:M51">
    <cfRule type="expression" dxfId="4083" priority="1172">
      <formula>$C5&lt;$E$3</formula>
    </cfRule>
  </conditionalFormatting>
  <conditionalFormatting sqref="M5:M11 M14:M20 M23:M29 M32:M38 M41:M47 M50:M51">
    <cfRule type="expression" dxfId="4082" priority="1168">
      <formula>$C5=$E$3</formula>
    </cfRule>
    <cfRule type="expression" dxfId="4081" priority="1169">
      <formula>$C5&lt;$E$3</formula>
    </cfRule>
    <cfRule type="cellIs" dxfId="4080" priority="1170" operator="equal">
      <formula>0</formula>
    </cfRule>
    <cfRule type="expression" dxfId="4079" priority="1171">
      <formula>$C5&gt;$E$3</formula>
    </cfRule>
  </conditionalFormatting>
  <conditionalFormatting sqref="M5:M11 M14:M20 M23:M29 M32:M38 M41:M47 M50:M51">
    <cfRule type="expression" dxfId="4078" priority="1167">
      <formula>$E5=""</formula>
    </cfRule>
  </conditionalFormatting>
  <conditionalFormatting sqref="M5:M11 M14:M20 M23:M29 M32:M38 M41:M47 M50:M51">
    <cfRule type="expression" dxfId="4077" priority="1166">
      <formula>$C5&lt;$E$3</formula>
    </cfRule>
  </conditionalFormatting>
  <conditionalFormatting sqref="M5:M11 M14:M20 M23:M29 M32:M38 M41:M47 M50:M51">
    <cfRule type="expression" dxfId="4076" priority="1165">
      <formula>$E5=""</formula>
    </cfRule>
  </conditionalFormatting>
  <conditionalFormatting sqref="M5:M11 M23:M29 M32:M38 M41:M47 M50:M51 M14:M20">
    <cfRule type="expression" dxfId="4075" priority="1164">
      <formula>$E5=""</formula>
    </cfRule>
  </conditionalFormatting>
  <conditionalFormatting sqref="M5:M11 M14:M20 M23:M29 M32:M38 M41:M47 M50:M51">
    <cfRule type="expression" dxfId="4074" priority="1163">
      <formula>$C5&lt;$E$3</formula>
    </cfRule>
  </conditionalFormatting>
  <conditionalFormatting sqref="M5:M11 M14:M20 M23:M29 M32:M38 M41:M47 M50:M51">
    <cfRule type="expression" dxfId="4073" priority="1162">
      <formula>$E5=""</formula>
    </cfRule>
  </conditionalFormatting>
  <conditionalFormatting sqref="M5:M11 M14:M20 M23:M29 M32:M38 M41:M47 M50:M51">
    <cfRule type="expression" dxfId="4072" priority="1161">
      <formula>$C5&lt;$E$3</formula>
    </cfRule>
  </conditionalFormatting>
  <conditionalFormatting sqref="M5:M11 M14:M20 M23:M29 M32:M38 M41:M47 M50:M51">
    <cfRule type="expression" dxfId="4071" priority="1160">
      <formula>$E5=""</formula>
    </cfRule>
  </conditionalFormatting>
  <conditionalFormatting sqref="M5:M11 M14:M20 M23:M29 M32:M38 M41:M47 M50:M51">
    <cfRule type="expression" dxfId="4070" priority="1159">
      <formula>$C5&lt;$E$3</formula>
    </cfRule>
  </conditionalFormatting>
  <conditionalFormatting sqref="M5:M11 M14:M20 M23:M29 M32:M38 M41:M47 M50:M51">
    <cfRule type="expression" dxfId="4069" priority="1158">
      <formula>$E5=""</formula>
    </cfRule>
  </conditionalFormatting>
  <conditionalFormatting sqref="M5:M11 M14:M20 M23:M29 M32:M38 M41:M47 M50:M51">
    <cfRule type="expression" dxfId="4068" priority="1157">
      <formula>$C5&lt;$E$3</formula>
    </cfRule>
  </conditionalFormatting>
  <conditionalFormatting sqref="M5:M11 M14:M20 M23:M29 M32:M38 M41:M47 M50:M51">
    <cfRule type="expression" dxfId="4067" priority="1153">
      <formula>$C5=$E$3</formula>
    </cfRule>
    <cfRule type="expression" dxfId="4066" priority="1154">
      <formula>$C5&lt;$E$3</formula>
    </cfRule>
    <cfRule type="cellIs" dxfId="4065" priority="1155" operator="equal">
      <formula>0</formula>
    </cfRule>
    <cfRule type="expression" dxfId="4064" priority="1156">
      <formula>$C5&gt;$E$3</formula>
    </cfRule>
  </conditionalFormatting>
  <conditionalFormatting sqref="M5:M11 M14:M20 M23:M29 M32:M38 M41:M47 M50:M51">
    <cfRule type="expression" dxfId="4063" priority="1152">
      <formula>$C5&lt;$E$3</formula>
    </cfRule>
  </conditionalFormatting>
  <conditionalFormatting sqref="M5:M11 M14:M20 M23:M29 M32:M38 M41:M47 M50:M51">
    <cfRule type="expression" dxfId="4062" priority="1148">
      <formula>$C5=$E$3</formula>
    </cfRule>
    <cfRule type="expression" dxfId="4061" priority="1149">
      <formula>$C5&lt;$E$3</formula>
    </cfRule>
    <cfRule type="cellIs" dxfId="4060" priority="1150" operator="equal">
      <formula>0</formula>
    </cfRule>
    <cfRule type="expression" dxfId="4059" priority="1151">
      <formula>$C5&gt;$E$3</formula>
    </cfRule>
  </conditionalFormatting>
  <conditionalFormatting sqref="M5:M11 M14:M20 M23:M29 M32:M38 M41:M47 M50:M51">
    <cfRule type="expression" dxfId="4058" priority="1147">
      <formula>$C5&lt;$E$3</formula>
    </cfRule>
  </conditionalFormatting>
  <conditionalFormatting sqref="M5:M11 M14:M20 M23:M29 M32:M38 M41:M47 M50:M51">
    <cfRule type="expression" dxfId="4057" priority="1143">
      <formula>$C5=$E$3</formula>
    </cfRule>
    <cfRule type="expression" dxfId="4056" priority="1144">
      <formula>$C5&lt;$E$3</formula>
    </cfRule>
    <cfRule type="cellIs" dxfId="4055" priority="1145" operator="equal">
      <formula>0</formula>
    </cfRule>
    <cfRule type="expression" dxfId="4054" priority="1146">
      <formula>$C5&gt;$E$3</formula>
    </cfRule>
  </conditionalFormatting>
  <conditionalFormatting sqref="M5:M11 M14:M20 M23:M29 M32:M38 M41:M47 M50:M51">
    <cfRule type="expression" dxfId="4053" priority="1142">
      <formula>$C5&lt;$E$3</formula>
    </cfRule>
  </conditionalFormatting>
  <conditionalFormatting sqref="M5:M11 M14:M20 M23:M29 M32:M38 M41:M47 M50:M51">
    <cfRule type="expression" dxfId="4052" priority="1138">
      <formula>$C5=$E$3</formula>
    </cfRule>
    <cfRule type="expression" dxfId="4051" priority="1139">
      <formula>$C5&lt;$E$3</formula>
    </cfRule>
    <cfRule type="cellIs" dxfId="4050" priority="1140" operator="equal">
      <formula>0</formula>
    </cfRule>
    <cfRule type="expression" dxfId="4049" priority="1141">
      <formula>$C5&gt;$E$3</formula>
    </cfRule>
  </conditionalFormatting>
  <conditionalFormatting sqref="M5:M11 M14:M20 M23:M29 M32:M38 M41:M47 M50:M51">
    <cfRule type="expression" dxfId="4048" priority="1137">
      <formula>$E5=""</formula>
    </cfRule>
  </conditionalFormatting>
  <conditionalFormatting sqref="M5:M11 M14:M20 M23:M29 M32:M38 M41:M47 M50:M51">
    <cfRule type="expression" dxfId="4047" priority="1136">
      <formula>$C5&lt;$E$3</formula>
    </cfRule>
  </conditionalFormatting>
  <conditionalFormatting sqref="M5:M11 M14:M20 M23:M29 M32:M38 M41:M47 M50:M51">
    <cfRule type="expression" dxfId="4046" priority="1135">
      <formula>$E5=""</formula>
    </cfRule>
  </conditionalFormatting>
  <conditionalFormatting sqref="M5:M11 M23:M29 M32:M38 M41:M47 M50:M51 M14:M20">
    <cfRule type="expression" dxfId="4045" priority="1134">
      <formula>$E5=""</formula>
    </cfRule>
  </conditionalFormatting>
  <conditionalFormatting sqref="M5:M11 M14:M20 M23:M29 M32:M38 M41:M47 M50:M51">
    <cfRule type="expression" dxfId="4044" priority="1133">
      <formula>$C5&lt;$E$3</formula>
    </cfRule>
  </conditionalFormatting>
  <conditionalFormatting sqref="M5:M11 M14:M20 M23:M29 M32:M38 M41:M47 M50:M51">
    <cfRule type="expression" dxfId="4043" priority="1132">
      <formula>$E5=""</formula>
    </cfRule>
  </conditionalFormatting>
  <conditionalFormatting sqref="M5:M11 M14:M20 M23:M29 M32:M38 M41:M47 M50:M51">
    <cfRule type="expression" dxfId="4042" priority="1131">
      <formula>$C5&lt;$E$3</formula>
    </cfRule>
  </conditionalFormatting>
  <conditionalFormatting sqref="M5:M11 M14:M20 M23:M29 M32:M38 M41:M47 M50:M51">
    <cfRule type="expression" dxfId="4041" priority="1130">
      <formula>$E5=""</formula>
    </cfRule>
  </conditionalFormatting>
  <conditionalFormatting sqref="M5:M11 M14:M20 M23:M29 M32:M38 M41:M47 M50:M51">
    <cfRule type="expression" dxfId="4040" priority="1129">
      <formula>$C5&lt;$E$3</formula>
    </cfRule>
  </conditionalFormatting>
  <conditionalFormatting sqref="M5:M11 M14:M20 M23:M29 M32:M38 M41:M47 M50:M51">
    <cfRule type="expression" dxfId="4039" priority="1128">
      <formula>$E5=""</formula>
    </cfRule>
  </conditionalFormatting>
  <conditionalFormatting sqref="K37">
    <cfRule type="expression" dxfId="4038" priority="335">
      <formula>$C37&lt;$E$3</formula>
    </cfRule>
  </conditionalFormatting>
  <conditionalFormatting sqref="K37">
    <cfRule type="expression" dxfId="4037" priority="331">
      <formula>$C37=$E$3</formula>
    </cfRule>
    <cfRule type="expression" dxfId="4036" priority="332">
      <formula>$C37&lt;$E$3</formula>
    </cfRule>
    <cfRule type="cellIs" dxfId="4035" priority="333" operator="equal">
      <formula>0</formula>
    </cfRule>
    <cfRule type="expression" dxfId="4034" priority="334">
      <formula>$C37&gt;$E$3</formula>
    </cfRule>
  </conditionalFormatting>
  <conditionalFormatting sqref="K37">
    <cfRule type="expression" dxfId="4033" priority="330">
      <formula>$C37&lt;$E$3</formula>
    </cfRule>
  </conditionalFormatting>
  <conditionalFormatting sqref="K37">
    <cfRule type="expression" dxfId="4032" priority="326">
      <formula>$C37=$E$3</formula>
    </cfRule>
    <cfRule type="expression" dxfId="4031" priority="327">
      <formula>$C37&lt;$E$3</formula>
    </cfRule>
    <cfRule type="cellIs" dxfId="4030" priority="328" operator="equal">
      <formula>0</formula>
    </cfRule>
    <cfRule type="expression" dxfId="4029" priority="329">
      <formula>$C37&gt;$E$3</formula>
    </cfRule>
  </conditionalFormatting>
  <conditionalFormatting sqref="K37">
    <cfRule type="expression" dxfId="4028" priority="305">
      <formula>$C37&lt;$E$3</formula>
    </cfRule>
  </conditionalFormatting>
  <conditionalFormatting sqref="K37">
    <cfRule type="expression" dxfId="4027" priority="301">
      <formula>$C37=$E$3</formula>
    </cfRule>
    <cfRule type="expression" dxfId="4026" priority="302">
      <formula>$C37&lt;$E$3</formula>
    </cfRule>
    <cfRule type="cellIs" dxfId="4025" priority="303" operator="equal">
      <formula>0</formula>
    </cfRule>
    <cfRule type="expression" dxfId="4024" priority="304">
      <formula>$C37&gt;$E$3</formula>
    </cfRule>
  </conditionalFormatting>
  <conditionalFormatting sqref="K37">
    <cfRule type="expression" dxfId="4023" priority="300">
      <formula>$C37&lt;$E$3</formula>
    </cfRule>
  </conditionalFormatting>
  <conditionalFormatting sqref="K37">
    <cfRule type="expression" dxfId="4022" priority="296">
      <formula>$C37=$E$3</formula>
    </cfRule>
    <cfRule type="expression" dxfId="4021" priority="297">
      <formula>$C37&lt;$E$3</formula>
    </cfRule>
    <cfRule type="cellIs" dxfId="4020" priority="298" operator="equal">
      <formula>0</formula>
    </cfRule>
    <cfRule type="expression" dxfId="4019" priority="299">
      <formula>$C37&gt;$E$3</formula>
    </cfRule>
  </conditionalFormatting>
  <conditionalFormatting sqref="K32:K36">
    <cfRule type="expression" dxfId="4018" priority="275">
      <formula>$C32&lt;$E$3</formula>
    </cfRule>
  </conditionalFormatting>
  <conditionalFormatting sqref="K32:K36">
    <cfRule type="expression" dxfId="4017" priority="271">
      <formula>$C32=$E$3</formula>
    </cfRule>
    <cfRule type="expression" dxfId="4016" priority="272">
      <formula>$C32&lt;$E$3</formula>
    </cfRule>
    <cfRule type="cellIs" dxfId="4015" priority="273" operator="equal">
      <formula>0</formula>
    </cfRule>
    <cfRule type="expression" dxfId="4014" priority="274">
      <formula>$C32&gt;$E$3</formula>
    </cfRule>
  </conditionalFormatting>
  <conditionalFormatting sqref="K32:K36">
    <cfRule type="expression" dxfId="4013" priority="270">
      <formula>$C32&lt;$E$3</formula>
    </cfRule>
  </conditionalFormatting>
  <conditionalFormatting sqref="K32:K36">
    <cfRule type="expression" dxfId="4012" priority="266">
      <formula>$C32=$E$3</formula>
    </cfRule>
    <cfRule type="expression" dxfId="4011" priority="267">
      <formula>$C32&lt;$E$3</formula>
    </cfRule>
    <cfRule type="cellIs" dxfId="4010" priority="268" operator="equal">
      <formula>0</formula>
    </cfRule>
    <cfRule type="expression" dxfId="4009" priority="269">
      <formula>$C32&gt;$E$3</formula>
    </cfRule>
  </conditionalFormatting>
  <conditionalFormatting sqref="H23:H29 H32 H14:H20 H11">
    <cfRule type="cellIs" dxfId="4008" priority="1007" stopIfTrue="1" operator="lessThan">
      <formula>0</formula>
    </cfRule>
  </conditionalFormatting>
  <conditionalFormatting sqref="H12">
    <cfRule type="expression" dxfId="4007" priority="1006">
      <formula>$F12&gt;=$F13</formula>
    </cfRule>
  </conditionalFormatting>
  <conditionalFormatting sqref="H21">
    <cfRule type="expression" dxfId="4006" priority="1005">
      <formula>$F21&gt;=$F22</formula>
    </cfRule>
  </conditionalFormatting>
  <conditionalFormatting sqref="H30">
    <cfRule type="expression" dxfId="4005" priority="1004">
      <formula>$F30&gt;=$F31</formula>
    </cfRule>
  </conditionalFormatting>
  <conditionalFormatting sqref="H12">
    <cfRule type="expression" dxfId="4004" priority="1003">
      <formula>$F12&gt;=$F13</formula>
    </cfRule>
  </conditionalFormatting>
  <conditionalFormatting sqref="H21">
    <cfRule type="expression" dxfId="4003" priority="1002">
      <formula>$F21&gt;=$F22</formula>
    </cfRule>
  </conditionalFormatting>
  <conditionalFormatting sqref="H30">
    <cfRule type="expression" dxfId="4002" priority="1001">
      <formula>$F30&gt;=$F31</formula>
    </cfRule>
  </conditionalFormatting>
  <conditionalFormatting sqref="H11">
    <cfRule type="expression" dxfId="4001" priority="999">
      <formula>$C11&lt;$E$3</formula>
    </cfRule>
  </conditionalFormatting>
  <conditionalFormatting sqref="H11">
    <cfRule type="expression" dxfId="4000" priority="996">
      <formula>$C11=$E$3</formula>
    </cfRule>
    <cfRule type="expression" dxfId="3999" priority="997">
      <formula>$C11&lt;$E$3</formula>
    </cfRule>
    <cfRule type="cellIs" dxfId="3998" priority="998" operator="equal">
      <formula>0</formula>
    </cfRule>
    <cfRule type="expression" dxfId="3997" priority="1000">
      <formula>$C11&gt;$E$3</formula>
    </cfRule>
  </conditionalFormatting>
  <conditionalFormatting sqref="H11">
    <cfRule type="expression" dxfId="3996" priority="995">
      <formula>$C11&lt;$E$3</formula>
    </cfRule>
  </conditionalFormatting>
  <conditionalFormatting sqref="H11">
    <cfRule type="expression" dxfId="3995" priority="991">
      <formula>$C11=$E$3</formula>
    </cfRule>
    <cfRule type="expression" dxfId="3994" priority="992">
      <formula>$C11&lt;$E$3</formula>
    </cfRule>
    <cfRule type="cellIs" dxfId="3993" priority="993" operator="equal">
      <formula>0</formula>
    </cfRule>
    <cfRule type="expression" dxfId="3992" priority="994">
      <formula>$C11&gt;$E$3</formula>
    </cfRule>
  </conditionalFormatting>
  <conditionalFormatting sqref="H11">
    <cfRule type="expression" dxfId="3991" priority="990">
      <formula>$C11&lt;$E$3</formula>
    </cfRule>
  </conditionalFormatting>
  <conditionalFormatting sqref="H11">
    <cfRule type="expression" dxfId="3990" priority="986">
      <formula>$C11=$E$3</formula>
    </cfRule>
    <cfRule type="expression" dxfId="3989" priority="987">
      <formula>$C11&lt;$E$3</formula>
    </cfRule>
    <cfRule type="cellIs" dxfId="3988" priority="988" operator="equal">
      <formula>0</formula>
    </cfRule>
    <cfRule type="expression" dxfId="3987" priority="989">
      <formula>$C11&gt;$E$3</formula>
    </cfRule>
  </conditionalFormatting>
  <conditionalFormatting sqref="H11">
    <cfRule type="expression" dxfId="3986" priority="985">
      <formula>$C11&lt;$E$3</formula>
    </cfRule>
  </conditionalFormatting>
  <conditionalFormatting sqref="H11">
    <cfRule type="expression" dxfId="3985" priority="981">
      <formula>$C11=$E$3</formula>
    </cfRule>
    <cfRule type="expression" dxfId="3984" priority="982">
      <formula>$C11&lt;$E$3</formula>
    </cfRule>
    <cfRule type="cellIs" dxfId="3983" priority="983" operator="equal">
      <formula>0</formula>
    </cfRule>
    <cfRule type="expression" dxfId="3982" priority="984">
      <formula>$C11&gt;$E$3</formula>
    </cfRule>
  </conditionalFormatting>
  <conditionalFormatting sqref="H11">
    <cfRule type="expression" dxfId="3981" priority="980">
      <formula>$E11=""</formula>
    </cfRule>
  </conditionalFormatting>
  <conditionalFormatting sqref="H11">
    <cfRule type="expression" dxfId="3980" priority="979">
      <formula>$C11&lt;$E$3</formula>
    </cfRule>
  </conditionalFormatting>
  <conditionalFormatting sqref="H11">
    <cfRule type="expression" dxfId="3979" priority="978">
      <formula>$E11=""</formula>
    </cfRule>
  </conditionalFormatting>
  <conditionalFormatting sqref="H11">
    <cfRule type="expression" dxfId="3978" priority="977">
      <formula>$E11=""</formula>
    </cfRule>
  </conditionalFormatting>
  <conditionalFormatting sqref="H11">
    <cfRule type="expression" dxfId="3977" priority="976">
      <formula>$C11&lt;$E$3</formula>
    </cfRule>
  </conditionalFormatting>
  <conditionalFormatting sqref="H11">
    <cfRule type="expression" dxfId="3976" priority="975">
      <formula>$E11=""</formula>
    </cfRule>
  </conditionalFormatting>
  <conditionalFormatting sqref="H11">
    <cfRule type="expression" dxfId="3975" priority="974">
      <formula>$C11&lt;$E$3</formula>
    </cfRule>
  </conditionalFormatting>
  <conditionalFormatting sqref="H11">
    <cfRule type="expression" dxfId="3974" priority="973">
      <formula>$E11=""</formula>
    </cfRule>
  </conditionalFormatting>
  <conditionalFormatting sqref="H11">
    <cfRule type="expression" dxfId="3973" priority="972">
      <formula>$C11&lt;$E$3</formula>
    </cfRule>
  </conditionalFormatting>
  <conditionalFormatting sqref="H11">
    <cfRule type="expression" dxfId="3972" priority="971">
      <formula>$E11=""</formula>
    </cfRule>
  </conditionalFormatting>
  <conditionalFormatting sqref="H14:H20">
    <cfRule type="expression" dxfId="3971" priority="969">
      <formula>$C14&lt;$E$3</formula>
    </cfRule>
  </conditionalFormatting>
  <conditionalFormatting sqref="H14:H20">
    <cfRule type="expression" dxfId="3970" priority="966">
      <formula>$C14=$E$3</formula>
    </cfRule>
    <cfRule type="expression" dxfId="3969" priority="967">
      <formula>$C14&lt;$E$3</formula>
    </cfRule>
    <cfRule type="cellIs" dxfId="3968" priority="968" operator="equal">
      <formula>0</formula>
    </cfRule>
    <cfRule type="expression" dxfId="3967" priority="970">
      <formula>$C14&gt;$E$3</formula>
    </cfRule>
  </conditionalFormatting>
  <conditionalFormatting sqref="H14:H20">
    <cfRule type="expression" dxfId="3966" priority="965">
      <formula>$C14&lt;$E$3</formula>
    </cfRule>
  </conditionalFormatting>
  <conditionalFormatting sqref="H14:H20">
    <cfRule type="expression" dxfId="3965" priority="961">
      <formula>$C14=$E$3</formula>
    </cfRule>
    <cfRule type="expression" dxfId="3964" priority="962">
      <formula>$C14&lt;$E$3</formula>
    </cfRule>
    <cfRule type="cellIs" dxfId="3963" priority="963" operator="equal">
      <formula>0</formula>
    </cfRule>
    <cfRule type="expression" dxfId="3962" priority="964">
      <formula>$C14&gt;$E$3</formula>
    </cfRule>
  </conditionalFormatting>
  <conditionalFormatting sqref="H14:H20">
    <cfRule type="expression" dxfId="3961" priority="960">
      <formula>$C14&lt;$E$3</formula>
    </cfRule>
  </conditionalFormatting>
  <conditionalFormatting sqref="H14:H20">
    <cfRule type="expression" dxfId="3960" priority="956">
      <formula>$C14=$E$3</formula>
    </cfRule>
    <cfRule type="expression" dxfId="3959" priority="957">
      <formula>$C14&lt;$E$3</formula>
    </cfRule>
    <cfRule type="cellIs" dxfId="3958" priority="958" operator="equal">
      <formula>0</formula>
    </cfRule>
    <cfRule type="expression" dxfId="3957" priority="959">
      <formula>$C14&gt;$E$3</formula>
    </cfRule>
  </conditionalFormatting>
  <conditionalFormatting sqref="H14:H20">
    <cfRule type="expression" dxfId="3956" priority="955">
      <formula>$C14&lt;$E$3</formula>
    </cfRule>
  </conditionalFormatting>
  <conditionalFormatting sqref="H14:H20">
    <cfRule type="expression" dxfId="3955" priority="951">
      <formula>$C14=$E$3</formula>
    </cfRule>
    <cfRule type="expression" dxfId="3954" priority="952">
      <formula>$C14&lt;$E$3</formula>
    </cfRule>
    <cfRule type="cellIs" dxfId="3953" priority="953" operator="equal">
      <formula>0</formula>
    </cfRule>
    <cfRule type="expression" dxfId="3952" priority="954">
      <formula>$C14&gt;$E$3</formula>
    </cfRule>
  </conditionalFormatting>
  <conditionalFormatting sqref="H14:H20">
    <cfRule type="expression" dxfId="3951" priority="950">
      <formula>$E14=""</formula>
    </cfRule>
  </conditionalFormatting>
  <conditionalFormatting sqref="H14:H20">
    <cfRule type="expression" dxfId="3950" priority="949">
      <formula>$C14&lt;$E$3</formula>
    </cfRule>
  </conditionalFormatting>
  <conditionalFormatting sqref="H14:H20">
    <cfRule type="expression" dxfId="3949" priority="948">
      <formula>$E14=""</formula>
    </cfRule>
  </conditionalFormatting>
  <conditionalFormatting sqref="H14:H20">
    <cfRule type="expression" dxfId="3948" priority="947">
      <formula>$E14=""</formula>
    </cfRule>
  </conditionalFormatting>
  <conditionalFormatting sqref="H14:H20">
    <cfRule type="expression" dxfId="3947" priority="946">
      <formula>$C14&lt;$E$3</formula>
    </cfRule>
  </conditionalFormatting>
  <conditionalFormatting sqref="H14:H20">
    <cfRule type="expression" dxfId="3946" priority="945">
      <formula>$E14=""</formula>
    </cfRule>
  </conditionalFormatting>
  <conditionalFormatting sqref="H14:H20">
    <cfRule type="expression" dxfId="3945" priority="944">
      <formula>$C14&lt;$E$3</formula>
    </cfRule>
  </conditionalFormatting>
  <conditionalFormatting sqref="H14:H20">
    <cfRule type="expression" dxfId="3944" priority="943">
      <formula>$E14=""</formula>
    </cfRule>
  </conditionalFormatting>
  <conditionalFormatting sqref="H14:H20">
    <cfRule type="expression" dxfId="3943" priority="942">
      <formula>$C14&lt;$E$3</formula>
    </cfRule>
  </conditionalFormatting>
  <conditionalFormatting sqref="H14:H20">
    <cfRule type="expression" dxfId="3942" priority="941">
      <formula>$E14=""</formula>
    </cfRule>
  </conditionalFormatting>
  <conditionalFormatting sqref="H23:H29">
    <cfRule type="expression" dxfId="3941" priority="939">
      <formula>$C23&lt;$E$3</formula>
    </cfRule>
  </conditionalFormatting>
  <conditionalFormatting sqref="H23:H29">
    <cfRule type="expression" dxfId="3940" priority="936">
      <formula>$C23=$E$3</formula>
    </cfRule>
    <cfRule type="expression" dxfId="3939" priority="937">
      <formula>$C23&lt;$E$3</formula>
    </cfRule>
    <cfRule type="cellIs" dxfId="3938" priority="938" operator="equal">
      <formula>0</formula>
    </cfRule>
    <cfRule type="expression" dxfId="3937" priority="940">
      <formula>$C23&gt;$E$3</formula>
    </cfRule>
  </conditionalFormatting>
  <conditionalFormatting sqref="H23:H29">
    <cfRule type="expression" dxfId="3936" priority="935">
      <formula>$C23&lt;$E$3</formula>
    </cfRule>
  </conditionalFormatting>
  <conditionalFormatting sqref="H23:H29">
    <cfRule type="expression" dxfId="3935" priority="931">
      <formula>$C23=$E$3</formula>
    </cfRule>
    <cfRule type="expression" dxfId="3934" priority="932">
      <formula>$C23&lt;$E$3</formula>
    </cfRule>
    <cfRule type="cellIs" dxfId="3933" priority="933" operator="equal">
      <formula>0</formula>
    </cfRule>
    <cfRule type="expression" dxfId="3932" priority="934">
      <formula>$C23&gt;$E$3</formula>
    </cfRule>
  </conditionalFormatting>
  <conditionalFormatting sqref="H23:H29">
    <cfRule type="expression" dxfId="3931" priority="930">
      <formula>$C23&lt;$E$3</formula>
    </cfRule>
  </conditionalFormatting>
  <conditionalFormatting sqref="H23:H29">
    <cfRule type="expression" dxfId="3930" priority="926">
      <formula>$C23=$E$3</formula>
    </cfRule>
    <cfRule type="expression" dxfId="3929" priority="927">
      <formula>$C23&lt;$E$3</formula>
    </cfRule>
    <cfRule type="cellIs" dxfId="3928" priority="928" operator="equal">
      <formula>0</formula>
    </cfRule>
    <cfRule type="expression" dxfId="3927" priority="929">
      <formula>$C23&gt;$E$3</formula>
    </cfRule>
  </conditionalFormatting>
  <conditionalFormatting sqref="H23:H29">
    <cfRule type="expression" dxfId="3926" priority="925">
      <formula>$C23&lt;$E$3</formula>
    </cfRule>
  </conditionalFormatting>
  <conditionalFormatting sqref="H23:H29">
    <cfRule type="expression" dxfId="3925" priority="921">
      <formula>$C23=$E$3</formula>
    </cfRule>
    <cfRule type="expression" dxfId="3924" priority="922">
      <formula>$C23&lt;$E$3</formula>
    </cfRule>
    <cfRule type="cellIs" dxfId="3923" priority="923" operator="equal">
      <formula>0</formula>
    </cfRule>
    <cfRule type="expression" dxfId="3922" priority="924">
      <formula>$C23&gt;$E$3</formula>
    </cfRule>
  </conditionalFormatting>
  <conditionalFormatting sqref="H23:H29">
    <cfRule type="expression" dxfId="3921" priority="920">
      <formula>$E23=""</formula>
    </cfRule>
  </conditionalFormatting>
  <conditionalFormatting sqref="H23:H29">
    <cfRule type="expression" dxfId="3920" priority="919">
      <formula>$C23&lt;$E$3</formula>
    </cfRule>
  </conditionalFormatting>
  <conditionalFormatting sqref="H23:H29">
    <cfRule type="expression" dxfId="3919" priority="918">
      <formula>$E23=""</formula>
    </cfRule>
  </conditionalFormatting>
  <conditionalFormatting sqref="H23:H29">
    <cfRule type="expression" dxfId="3918" priority="917">
      <formula>$E23=""</formula>
    </cfRule>
  </conditionalFormatting>
  <conditionalFormatting sqref="H23:H29">
    <cfRule type="expression" dxfId="3917" priority="916">
      <formula>$C23&lt;$E$3</formula>
    </cfRule>
  </conditionalFormatting>
  <conditionalFormatting sqref="H23:H29">
    <cfRule type="expression" dxfId="3916" priority="915">
      <formula>$E23=""</formula>
    </cfRule>
  </conditionalFormatting>
  <conditionalFormatting sqref="H23:H29">
    <cfRule type="expression" dxfId="3915" priority="914">
      <formula>$C23&lt;$E$3</formula>
    </cfRule>
  </conditionalFormatting>
  <conditionalFormatting sqref="H23:H29">
    <cfRule type="expression" dxfId="3914" priority="913">
      <formula>$E23=""</formula>
    </cfRule>
  </conditionalFormatting>
  <conditionalFormatting sqref="H23:H29">
    <cfRule type="expression" dxfId="3913" priority="912">
      <formula>$C23&lt;$E$3</formula>
    </cfRule>
  </conditionalFormatting>
  <conditionalFormatting sqref="H23:H29">
    <cfRule type="expression" dxfId="3912" priority="911">
      <formula>$E23=""</formula>
    </cfRule>
  </conditionalFormatting>
  <conditionalFormatting sqref="H32">
    <cfRule type="expression" dxfId="3911" priority="909">
      <formula>$C32&lt;$E$3</formula>
    </cfRule>
  </conditionalFormatting>
  <conditionalFormatting sqref="H32">
    <cfRule type="expression" dxfId="3910" priority="906">
      <formula>$C32=$E$3</formula>
    </cfRule>
    <cfRule type="expression" dxfId="3909" priority="907">
      <formula>$C32&lt;$E$3</formula>
    </cfRule>
    <cfRule type="cellIs" dxfId="3908" priority="908" operator="equal">
      <formula>0</formula>
    </cfRule>
    <cfRule type="expression" dxfId="3907" priority="910">
      <formula>$C32&gt;$E$3</formula>
    </cfRule>
  </conditionalFormatting>
  <conditionalFormatting sqref="H32">
    <cfRule type="expression" dxfId="3906" priority="905">
      <formula>$C32&lt;$E$3</formula>
    </cfRule>
  </conditionalFormatting>
  <conditionalFormatting sqref="H32">
    <cfRule type="expression" dxfId="3905" priority="901">
      <formula>$C32=$E$3</formula>
    </cfRule>
    <cfRule type="expression" dxfId="3904" priority="902">
      <formula>$C32&lt;$E$3</formula>
    </cfRule>
    <cfRule type="cellIs" dxfId="3903" priority="903" operator="equal">
      <formula>0</formula>
    </cfRule>
    <cfRule type="expression" dxfId="3902" priority="904">
      <formula>$C32&gt;$E$3</formula>
    </cfRule>
  </conditionalFormatting>
  <conditionalFormatting sqref="H32">
    <cfRule type="expression" dxfId="3901" priority="900">
      <formula>$C32&lt;$E$3</formula>
    </cfRule>
  </conditionalFormatting>
  <conditionalFormatting sqref="H32">
    <cfRule type="expression" dxfId="3900" priority="896">
      <formula>$C32=$E$3</formula>
    </cfRule>
    <cfRule type="expression" dxfId="3899" priority="897">
      <formula>$C32&lt;$E$3</formula>
    </cfRule>
    <cfRule type="cellIs" dxfId="3898" priority="898" operator="equal">
      <formula>0</formula>
    </cfRule>
    <cfRule type="expression" dxfId="3897" priority="899">
      <formula>$C32&gt;$E$3</formula>
    </cfRule>
  </conditionalFormatting>
  <conditionalFormatting sqref="H32">
    <cfRule type="expression" dxfId="3896" priority="895">
      <formula>$C32&lt;$E$3</formula>
    </cfRule>
  </conditionalFormatting>
  <conditionalFormatting sqref="H32">
    <cfRule type="expression" dxfId="3895" priority="891">
      <formula>$C32=$E$3</formula>
    </cfRule>
    <cfRule type="expression" dxfId="3894" priority="892">
      <formula>$C32&lt;$E$3</formula>
    </cfRule>
    <cfRule type="cellIs" dxfId="3893" priority="893" operator="equal">
      <formula>0</formula>
    </cfRule>
    <cfRule type="expression" dxfId="3892" priority="894">
      <formula>$C32&gt;$E$3</formula>
    </cfRule>
  </conditionalFormatting>
  <conditionalFormatting sqref="H32">
    <cfRule type="expression" dxfId="3891" priority="890">
      <formula>$E32=""</formula>
    </cfRule>
  </conditionalFormatting>
  <conditionalFormatting sqref="H32">
    <cfRule type="expression" dxfId="3890" priority="889">
      <formula>$C32&lt;$E$3</formula>
    </cfRule>
  </conditionalFormatting>
  <conditionalFormatting sqref="H32">
    <cfRule type="expression" dxfId="3889" priority="888">
      <formula>$E32=""</formula>
    </cfRule>
  </conditionalFormatting>
  <conditionalFormatting sqref="H32">
    <cfRule type="expression" dxfId="3888" priority="887">
      <formula>$E32=""</formula>
    </cfRule>
  </conditionalFormatting>
  <conditionalFormatting sqref="H32">
    <cfRule type="expression" dxfId="3887" priority="886">
      <formula>$C32&lt;$E$3</formula>
    </cfRule>
  </conditionalFormatting>
  <conditionalFormatting sqref="H32">
    <cfRule type="expression" dxfId="3886" priority="885">
      <formula>$E32=""</formula>
    </cfRule>
  </conditionalFormatting>
  <conditionalFormatting sqref="H32">
    <cfRule type="expression" dxfId="3885" priority="884">
      <formula>$C32&lt;$E$3</formula>
    </cfRule>
  </conditionalFormatting>
  <conditionalFormatting sqref="H32">
    <cfRule type="expression" dxfId="3884" priority="883">
      <formula>$E32=""</formula>
    </cfRule>
  </conditionalFormatting>
  <conditionalFormatting sqref="H32">
    <cfRule type="expression" dxfId="3883" priority="882">
      <formula>$C32&lt;$E$3</formula>
    </cfRule>
  </conditionalFormatting>
  <conditionalFormatting sqref="H32">
    <cfRule type="expression" dxfId="3882" priority="881">
      <formula>$E32=""</formula>
    </cfRule>
  </conditionalFormatting>
  <conditionalFormatting sqref="F52:H52">
    <cfRule type="expression" dxfId="3881" priority="1378" stopIfTrue="1">
      <formula>$H$52=-1E-55</formula>
    </cfRule>
    <cfRule type="expression" dxfId="3880" priority="1379">
      <formula>$F52&gt;=$F53</formula>
    </cfRule>
  </conditionalFormatting>
  <conditionalFormatting sqref="K48:K49">
    <cfRule type="cellIs" dxfId="3879" priority="879" stopIfTrue="1" operator="lessThan">
      <formula>0</formula>
    </cfRule>
  </conditionalFormatting>
  <conditionalFormatting sqref="K48:K49">
    <cfRule type="expression" dxfId="3878" priority="878">
      <formula>$C68&lt;$E$3</formula>
    </cfRule>
  </conditionalFormatting>
  <conditionalFormatting sqref="K48:K49">
    <cfRule type="expression" dxfId="3877" priority="874">
      <formula>$C68=$E$3</formula>
    </cfRule>
    <cfRule type="expression" dxfId="3876" priority="875">
      <formula>$C68&lt;$E$3</formula>
    </cfRule>
    <cfRule type="cellIs" dxfId="3875" priority="876" operator="equal">
      <formula>0</formula>
    </cfRule>
    <cfRule type="expression" dxfId="3874" priority="877">
      <formula>$C68&gt;$E$3</formula>
    </cfRule>
  </conditionalFormatting>
  <conditionalFormatting sqref="K48:K49">
    <cfRule type="expression" dxfId="3873" priority="873">
      <formula>$C68&lt;$E$3</formula>
    </cfRule>
  </conditionalFormatting>
  <conditionalFormatting sqref="K48:K49">
    <cfRule type="expression" dxfId="3872" priority="869">
      <formula>$C68=$E$3</formula>
    </cfRule>
    <cfRule type="expression" dxfId="3871" priority="870">
      <formula>$C68&lt;$E$3</formula>
    </cfRule>
    <cfRule type="cellIs" dxfId="3870" priority="871" operator="equal">
      <formula>0</formula>
    </cfRule>
    <cfRule type="expression" dxfId="3869" priority="872">
      <formula>$C68&gt;$E$3</formula>
    </cfRule>
  </conditionalFormatting>
  <conditionalFormatting sqref="K48:K49">
    <cfRule type="expression" dxfId="3868" priority="868">
      <formula>$C68&lt;$E$3</formula>
    </cfRule>
  </conditionalFormatting>
  <conditionalFormatting sqref="K48:K49">
    <cfRule type="expression" dxfId="3867" priority="864">
      <formula>$C68=$E$3</formula>
    </cfRule>
    <cfRule type="expression" dxfId="3866" priority="865">
      <formula>$C68&lt;$E$3</formula>
    </cfRule>
    <cfRule type="cellIs" dxfId="3865" priority="866" operator="equal">
      <formula>0</formula>
    </cfRule>
    <cfRule type="expression" dxfId="3864" priority="867">
      <formula>$C68&gt;$E$3</formula>
    </cfRule>
  </conditionalFormatting>
  <conditionalFormatting sqref="K48:K49">
    <cfRule type="expression" dxfId="3863" priority="863">
      <formula>$C68&lt;$E$3</formula>
    </cfRule>
  </conditionalFormatting>
  <conditionalFormatting sqref="K48:K49">
    <cfRule type="expression" dxfId="3862" priority="859">
      <formula>$C68=$E$3</formula>
    </cfRule>
    <cfRule type="expression" dxfId="3861" priority="860">
      <formula>$C68&lt;$E$3</formula>
    </cfRule>
    <cfRule type="cellIs" dxfId="3860" priority="861" operator="equal">
      <formula>0</formula>
    </cfRule>
    <cfRule type="expression" dxfId="3859" priority="862">
      <formula>$C68&gt;$E$3</formula>
    </cfRule>
  </conditionalFormatting>
  <conditionalFormatting sqref="K48:K49">
    <cfRule type="expression" dxfId="3858" priority="858">
      <formula>$E68=""</formula>
    </cfRule>
  </conditionalFormatting>
  <conditionalFormatting sqref="K48:K49">
    <cfRule type="expression" dxfId="3857" priority="857">
      <formula>$C68&lt;$E$3</formula>
    </cfRule>
  </conditionalFormatting>
  <conditionalFormatting sqref="K48:K49">
    <cfRule type="expression" dxfId="3856" priority="856">
      <formula>$E68=""</formula>
    </cfRule>
  </conditionalFormatting>
  <conditionalFormatting sqref="K48:K49">
    <cfRule type="expression" dxfId="3855" priority="855">
      <formula>$E68=""</formula>
    </cfRule>
  </conditionalFormatting>
  <conditionalFormatting sqref="K48:K49">
    <cfRule type="expression" dxfId="3854" priority="854">
      <formula>$C68&lt;$E$3</formula>
    </cfRule>
  </conditionalFormatting>
  <conditionalFormatting sqref="K48:K49">
    <cfRule type="expression" dxfId="3853" priority="853">
      <formula>$E68=""</formula>
    </cfRule>
  </conditionalFormatting>
  <conditionalFormatting sqref="K48:K49">
    <cfRule type="expression" dxfId="3852" priority="852">
      <formula>$C68&lt;$E$3</formula>
    </cfRule>
  </conditionalFormatting>
  <conditionalFormatting sqref="K48:K49">
    <cfRule type="expression" dxfId="3851" priority="851">
      <formula>$E68=""</formula>
    </cfRule>
  </conditionalFormatting>
  <conditionalFormatting sqref="K48:K49">
    <cfRule type="expression" dxfId="3850" priority="850">
      <formula>$C68&lt;$E$3</formula>
    </cfRule>
  </conditionalFormatting>
  <conditionalFormatting sqref="K48:K49">
    <cfRule type="expression" dxfId="3849" priority="849">
      <formula>$E68=""</formula>
    </cfRule>
  </conditionalFormatting>
  <conditionalFormatting sqref="K48:K49">
    <cfRule type="expression" dxfId="3848" priority="848">
      <formula>$C68&lt;$E$3</formula>
    </cfRule>
  </conditionalFormatting>
  <conditionalFormatting sqref="K48:K49">
    <cfRule type="expression" dxfId="3847" priority="844">
      <formula>$C68=$E$3</formula>
    </cfRule>
    <cfRule type="expression" dxfId="3846" priority="845">
      <formula>$C68&lt;$E$3</formula>
    </cfRule>
    <cfRule type="cellIs" dxfId="3845" priority="846" operator="equal">
      <formula>0</formula>
    </cfRule>
    <cfRule type="expression" dxfId="3844" priority="847">
      <formula>$C68&gt;$E$3</formula>
    </cfRule>
  </conditionalFormatting>
  <conditionalFormatting sqref="K48:K49">
    <cfRule type="expression" dxfId="3843" priority="843">
      <formula>$C68&lt;$E$3</formula>
    </cfRule>
  </conditionalFormatting>
  <conditionalFormatting sqref="K48:K49">
    <cfRule type="expression" dxfId="3842" priority="839">
      <formula>$C68=$E$3</formula>
    </cfRule>
    <cfRule type="expression" dxfId="3841" priority="840">
      <formula>$C68&lt;$E$3</formula>
    </cfRule>
    <cfRule type="cellIs" dxfId="3840" priority="841" operator="equal">
      <formula>0</formula>
    </cfRule>
    <cfRule type="expression" dxfId="3839" priority="842">
      <formula>$C68&gt;$E$3</formula>
    </cfRule>
  </conditionalFormatting>
  <conditionalFormatting sqref="K48:K49">
    <cfRule type="expression" dxfId="3838" priority="838">
      <formula>$C68&lt;$E$3</formula>
    </cfRule>
  </conditionalFormatting>
  <conditionalFormatting sqref="K48:K49">
    <cfRule type="expression" dxfId="3837" priority="834">
      <formula>$C68=$E$3</formula>
    </cfRule>
    <cfRule type="expression" dxfId="3836" priority="835">
      <formula>$C68&lt;$E$3</formula>
    </cfRule>
    <cfRule type="cellIs" dxfId="3835" priority="836" operator="equal">
      <formula>0</formula>
    </cfRule>
    <cfRule type="expression" dxfId="3834" priority="837">
      <formula>$C68&gt;$E$3</formula>
    </cfRule>
  </conditionalFormatting>
  <conditionalFormatting sqref="K48:K49">
    <cfRule type="expression" dxfId="3833" priority="833">
      <formula>$C68&lt;$E$3</formula>
    </cfRule>
  </conditionalFormatting>
  <conditionalFormatting sqref="K48:K49">
    <cfRule type="expression" dxfId="3832" priority="829">
      <formula>$C68=$E$3</formula>
    </cfRule>
    <cfRule type="expression" dxfId="3831" priority="830">
      <formula>$C68&lt;$E$3</formula>
    </cfRule>
    <cfRule type="cellIs" dxfId="3830" priority="831" operator="equal">
      <formula>0</formula>
    </cfRule>
    <cfRule type="expression" dxfId="3829" priority="832">
      <formula>$C68&gt;$E$3</formula>
    </cfRule>
  </conditionalFormatting>
  <conditionalFormatting sqref="K48:K49">
    <cfRule type="expression" dxfId="3828" priority="828">
      <formula>$E68=""</formula>
    </cfRule>
  </conditionalFormatting>
  <conditionalFormatting sqref="K48:K49">
    <cfRule type="expression" dxfId="3827" priority="827">
      <formula>$C68&lt;$E$3</formula>
    </cfRule>
  </conditionalFormatting>
  <conditionalFormatting sqref="K48:K49">
    <cfRule type="expression" dxfId="3826" priority="826">
      <formula>$E68=""</formula>
    </cfRule>
  </conditionalFormatting>
  <conditionalFormatting sqref="K48:K49">
    <cfRule type="expression" dxfId="3825" priority="825">
      <formula>$E68=""</formula>
    </cfRule>
  </conditionalFormatting>
  <conditionalFormatting sqref="K48:K49">
    <cfRule type="expression" dxfId="3824" priority="824">
      <formula>$C68&lt;$E$3</formula>
    </cfRule>
  </conditionalFormatting>
  <conditionalFormatting sqref="K48:K49">
    <cfRule type="expression" dxfId="3823" priority="823">
      <formula>$E68=""</formula>
    </cfRule>
  </conditionalFormatting>
  <conditionalFormatting sqref="K48:K49">
    <cfRule type="expression" dxfId="3822" priority="822">
      <formula>$C68&lt;$E$3</formula>
    </cfRule>
  </conditionalFormatting>
  <conditionalFormatting sqref="K48:K49">
    <cfRule type="expression" dxfId="3821" priority="821">
      <formula>$E68=""</formula>
    </cfRule>
  </conditionalFormatting>
  <conditionalFormatting sqref="K48:K49">
    <cfRule type="expression" dxfId="3820" priority="820">
      <formula>$C68&lt;$E$3</formula>
    </cfRule>
  </conditionalFormatting>
  <conditionalFormatting sqref="K48:K49">
    <cfRule type="expression" dxfId="3819" priority="819">
      <formula>$E68=""</formula>
    </cfRule>
  </conditionalFormatting>
  <conditionalFormatting sqref="K50:K51">
    <cfRule type="expression" dxfId="3818" priority="51">
      <formula>$E50=""</formula>
    </cfRule>
  </conditionalFormatting>
  <conditionalFormatting sqref="H33:H37">
    <cfRule type="cellIs" dxfId="3817" priority="794" stopIfTrue="1" operator="lessThan">
      <formula>0</formula>
    </cfRule>
  </conditionalFormatting>
  <conditionalFormatting sqref="H33:H37">
    <cfRule type="expression" dxfId="3816" priority="798">
      <formula>$C33&lt;$E$3</formula>
    </cfRule>
  </conditionalFormatting>
  <conditionalFormatting sqref="H33:H37">
    <cfRule type="expression" dxfId="3815" priority="795">
      <formula>$C33=$E$3</formula>
    </cfRule>
    <cfRule type="expression" dxfId="3814" priority="796">
      <formula>$C33&lt;$E$3</formula>
    </cfRule>
    <cfRule type="cellIs" dxfId="3813" priority="797" operator="equal">
      <formula>0</formula>
    </cfRule>
    <cfRule type="expression" dxfId="3812" priority="799">
      <formula>$C33&gt;$E$3</formula>
    </cfRule>
  </conditionalFormatting>
  <conditionalFormatting sqref="H33:H37">
    <cfRule type="expression" dxfId="3811" priority="793">
      <formula>$C33&lt;$E$3</formula>
    </cfRule>
  </conditionalFormatting>
  <conditionalFormatting sqref="H33:H37">
    <cfRule type="expression" dxfId="3810" priority="789">
      <formula>$C33=$E$3</formula>
    </cfRule>
    <cfRule type="expression" dxfId="3809" priority="790">
      <formula>$C33&lt;$E$3</formula>
    </cfRule>
    <cfRule type="cellIs" dxfId="3808" priority="791" operator="equal">
      <formula>0</formula>
    </cfRule>
    <cfRule type="expression" dxfId="3807" priority="792">
      <formula>$C33&gt;$E$3</formula>
    </cfRule>
  </conditionalFormatting>
  <conditionalFormatting sqref="H33:H37">
    <cfRule type="expression" dxfId="3806" priority="788">
      <formula>$E33=""</formula>
    </cfRule>
  </conditionalFormatting>
  <conditionalFormatting sqref="H36">
    <cfRule type="expression" dxfId="3805" priority="787">
      <formula>$E36=""</formula>
    </cfRule>
  </conditionalFormatting>
  <conditionalFormatting sqref="H33:H37">
    <cfRule type="expression" dxfId="3804" priority="786">
      <formula>$C33&lt;$E$3</formula>
    </cfRule>
  </conditionalFormatting>
  <conditionalFormatting sqref="H33:H37">
    <cfRule type="expression" dxfId="3803" priority="782">
      <formula>$C33=$E$3</formula>
    </cfRule>
    <cfRule type="expression" dxfId="3802" priority="783">
      <formula>$C33&lt;$E$3</formula>
    </cfRule>
    <cfRule type="cellIs" dxfId="3801" priority="784" operator="equal">
      <formula>0</formula>
    </cfRule>
    <cfRule type="expression" dxfId="3800" priority="785">
      <formula>$C33&gt;$E$3</formula>
    </cfRule>
  </conditionalFormatting>
  <conditionalFormatting sqref="H33:H37">
    <cfRule type="expression" dxfId="3799" priority="781">
      <formula>$C33&lt;$E$3</formula>
    </cfRule>
  </conditionalFormatting>
  <conditionalFormatting sqref="H33:H37">
    <cfRule type="expression" dxfId="3798" priority="777">
      <formula>$C33=$E$3</formula>
    </cfRule>
    <cfRule type="expression" dxfId="3797" priority="778">
      <formula>$C33&lt;$E$3</formula>
    </cfRule>
    <cfRule type="cellIs" dxfId="3796" priority="779" operator="equal">
      <formula>0</formula>
    </cfRule>
    <cfRule type="expression" dxfId="3795" priority="780">
      <formula>$C33&gt;$E$3</formula>
    </cfRule>
  </conditionalFormatting>
  <conditionalFormatting sqref="H33:H37">
    <cfRule type="expression" dxfId="3794" priority="776">
      <formula>$E33=""</formula>
    </cfRule>
  </conditionalFormatting>
  <conditionalFormatting sqref="H33:H37">
    <cfRule type="expression" dxfId="3793" priority="775">
      <formula>$C33&lt;$E$3</formula>
    </cfRule>
  </conditionalFormatting>
  <conditionalFormatting sqref="H33:H37">
    <cfRule type="expression" dxfId="3792" priority="774">
      <formula>$E33=""</formula>
    </cfRule>
  </conditionalFormatting>
  <conditionalFormatting sqref="H33:H37">
    <cfRule type="expression" dxfId="3791" priority="773">
      <formula>$E33=""</formula>
    </cfRule>
  </conditionalFormatting>
  <conditionalFormatting sqref="H33:H37">
    <cfRule type="expression" dxfId="3790" priority="772">
      <formula>$C33&lt;$E$3</formula>
    </cfRule>
  </conditionalFormatting>
  <conditionalFormatting sqref="H33:H37">
    <cfRule type="expression" dxfId="3789" priority="771">
      <formula>$E33=""</formula>
    </cfRule>
  </conditionalFormatting>
  <conditionalFormatting sqref="H33:H37">
    <cfRule type="expression" dxfId="3788" priority="770">
      <formula>$C33&lt;$E$3</formula>
    </cfRule>
  </conditionalFormatting>
  <conditionalFormatting sqref="H33:H37">
    <cfRule type="expression" dxfId="3787" priority="769">
      <formula>$E33=""</formula>
    </cfRule>
  </conditionalFormatting>
  <conditionalFormatting sqref="H33:H37">
    <cfRule type="expression" dxfId="3786" priority="768">
      <formula>$C33&lt;$E$3</formula>
    </cfRule>
  </conditionalFormatting>
  <conditionalFormatting sqref="H33:H37">
    <cfRule type="expression" dxfId="3785" priority="767">
      <formula>$E33=""</formula>
    </cfRule>
  </conditionalFormatting>
  <conditionalFormatting sqref="J39:N40">
    <cfRule type="expression" dxfId="3784" priority="766">
      <formula>$L$40=0</formula>
    </cfRule>
  </conditionalFormatting>
  <conditionalFormatting sqref="K5:K11">
    <cfRule type="cellIs" dxfId="3783" priority="765" stopIfTrue="1" operator="lessThan">
      <formula>0</formula>
    </cfRule>
  </conditionalFormatting>
  <conditionalFormatting sqref="K5:K11">
    <cfRule type="expression" dxfId="3782" priority="763">
      <formula>$C5&lt;$E$3</formula>
    </cfRule>
  </conditionalFormatting>
  <conditionalFormatting sqref="K5:K11">
    <cfRule type="expression" dxfId="3781" priority="760">
      <formula>$C5=$E$3</formula>
    </cfRule>
    <cfRule type="expression" dxfId="3780" priority="761">
      <formula>$C5&lt;$E$3</formula>
    </cfRule>
    <cfRule type="cellIs" dxfId="3779" priority="762" operator="equal">
      <formula>0</formula>
    </cfRule>
    <cfRule type="expression" dxfId="3778" priority="764">
      <formula>$C5&gt;$E$3</formula>
    </cfRule>
  </conditionalFormatting>
  <conditionalFormatting sqref="K5:K11">
    <cfRule type="expression" dxfId="3777" priority="759">
      <formula>$E5=""</formula>
    </cfRule>
  </conditionalFormatting>
  <conditionalFormatting sqref="K5:K11">
    <cfRule type="expression" dxfId="3776" priority="758">
      <formula>$E5=""</formula>
    </cfRule>
  </conditionalFormatting>
  <conditionalFormatting sqref="K5:K11">
    <cfRule type="expression" dxfId="3775" priority="757">
      <formula>$E5=""</formula>
    </cfRule>
  </conditionalFormatting>
  <conditionalFormatting sqref="K10">
    <cfRule type="expression" dxfId="3774" priority="756">
      <formula>$C10&lt;$E$3</formula>
    </cfRule>
  </conditionalFormatting>
  <conditionalFormatting sqref="K10">
    <cfRule type="expression" dxfId="3773" priority="752">
      <formula>$C10=$E$3</formula>
    </cfRule>
    <cfRule type="expression" dxfId="3772" priority="753">
      <formula>$C10&lt;$E$3</formula>
    </cfRule>
    <cfRule type="cellIs" dxfId="3771" priority="754" operator="equal">
      <formula>0</formula>
    </cfRule>
    <cfRule type="expression" dxfId="3770" priority="755">
      <formula>$C10&gt;$E$3</formula>
    </cfRule>
  </conditionalFormatting>
  <conditionalFormatting sqref="K10">
    <cfRule type="expression" dxfId="3769" priority="751">
      <formula>$C10&lt;$E$3</formula>
    </cfRule>
  </conditionalFormatting>
  <conditionalFormatting sqref="K10">
    <cfRule type="expression" dxfId="3768" priority="747">
      <formula>$C10=$E$3</formula>
    </cfRule>
    <cfRule type="expression" dxfId="3767" priority="748">
      <formula>$C10&lt;$E$3</formula>
    </cfRule>
    <cfRule type="cellIs" dxfId="3766" priority="749" operator="equal">
      <formula>0</formula>
    </cfRule>
    <cfRule type="expression" dxfId="3765" priority="750">
      <formula>$C10&gt;$E$3</formula>
    </cfRule>
  </conditionalFormatting>
  <conditionalFormatting sqref="K10">
    <cfRule type="expression" dxfId="3764" priority="746">
      <formula>$C10&lt;$E$3</formula>
    </cfRule>
  </conditionalFormatting>
  <conditionalFormatting sqref="K10">
    <cfRule type="expression" dxfId="3763" priority="742">
      <formula>$C10=$E$3</formula>
    </cfRule>
    <cfRule type="expression" dxfId="3762" priority="743">
      <formula>$C10&lt;$E$3</formula>
    </cfRule>
    <cfRule type="cellIs" dxfId="3761" priority="744" operator="equal">
      <formula>0</formula>
    </cfRule>
    <cfRule type="expression" dxfId="3760" priority="745">
      <formula>$C10&gt;$E$3</formula>
    </cfRule>
  </conditionalFormatting>
  <conditionalFormatting sqref="K10">
    <cfRule type="expression" dxfId="3759" priority="741">
      <formula>$C10&lt;$E$3</formula>
    </cfRule>
  </conditionalFormatting>
  <conditionalFormatting sqref="K10">
    <cfRule type="expression" dxfId="3758" priority="737">
      <formula>$C10=$E$3</formula>
    </cfRule>
    <cfRule type="expression" dxfId="3757" priority="738">
      <formula>$C10&lt;$E$3</formula>
    </cfRule>
    <cfRule type="cellIs" dxfId="3756" priority="739" operator="equal">
      <formula>0</formula>
    </cfRule>
    <cfRule type="expression" dxfId="3755" priority="740">
      <formula>$C10&gt;$E$3</formula>
    </cfRule>
  </conditionalFormatting>
  <conditionalFormatting sqref="K10">
    <cfRule type="expression" dxfId="3754" priority="736">
      <formula>$E10=""</formula>
    </cfRule>
  </conditionalFormatting>
  <conditionalFormatting sqref="K10">
    <cfRule type="expression" dxfId="3753" priority="735">
      <formula>$C10&lt;$E$3</formula>
    </cfRule>
  </conditionalFormatting>
  <conditionalFormatting sqref="K10">
    <cfRule type="expression" dxfId="3752" priority="734">
      <formula>$E10=""</formula>
    </cfRule>
  </conditionalFormatting>
  <conditionalFormatting sqref="K10">
    <cfRule type="expression" dxfId="3751" priority="733">
      <formula>$E10=""</formula>
    </cfRule>
  </conditionalFormatting>
  <conditionalFormatting sqref="K10">
    <cfRule type="expression" dxfId="3750" priority="732">
      <formula>$C10&lt;$E$3</formula>
    </cfRule>
  </conditionalFormatting>
  <conditionalFormatting sqref="K10">
    <cfRule type="expression" dxfId="3749" priority="731">
      <formula>$E10=""</formula>
    </cfRule>
  </conditionalFormatting>
  <conditionalFormatting sqref="K10">
    <cfRule type="expression" dxfId="3748" priority="730">
      <formula>$C10&lt;$E$3</formula>
    </cfRule>
  </conditionalFormatting>
  <conditionalFormatting sqref="K10">
    <cfRule type="expression" dxfId="3747" priority="729">
      <formula>$E10=""</formula>
    </cfRule>
  </conditionalFormatting>
  <conditionalFormatting sqref="K10">
    <cfRule type="expression" dxfId="3746" priority="728">
      <formula>$C10&lt;$E$3</formula>
    </cfRule>
  </conditionalFormatting>
  <conditionalFormatting sqref="K10">
    <cfRule type="expression" dxfId="3745" priority="727">
      <formula>$E10=""</formula>
    </cfRule>
  </conditionalFormatting>
  <conditionalFormatting sqref="K10">
    <cfRule type="expression" dxfId="3744" priority="726">
      <formula>$C10&lt;$E$3</formula>
    </cfRule>
  </conditionalFormatting>
  <conditionalFormatting sqref="K10">
    <cfRule type="expression" dxfId="3743" priority="722">
      <formula>$C10=$E$3</formula>
    </cfRule>
    <cfRule type="expression" dxfId="3742" priority="723">
      <formula>$C10&lt;$E$3</formula>
    </cfRule>
    <cfRule type="cellIs" dxfId="3741" priority="724" operator="equal">
      <formula>0</formula>
    </cfRule>
    <cfRule type="expression" dxfId="3740" priority="725">
      <formula>$C10&gt;$E$3</formula>
    </cfRule>
  </conditionalFormatting>
  <conditionalFormatting sqref="K10">
    <cfRule type="expression" dxfId="3739" priority="721">
      <formula>$C10&lt;$E$3</formula>
    </cfRule>
  </conditionalFormatting>
  <conditionalFormatting sqref="K10">
    <cfRule type="expression" dxfId="3738" priority="717">
      <formula>$C10=$E$3</formula>
    </cfRule>
    <cfRule type="expression" dxfId="3737" priority="718">
      <formula>$C10&lt;$E$3</formula>
    </cfRule>
    <cfRule type="cellIs" dxfId="3736" priority="719" operator="equal">
      <formula>0</formula>
    </cfRule>
    <cfRule type="expression" dxfId="3735" priority="720">
      <formula>$C10&gt;$E$3</formula>
    </cfRule>
  </conditionalFormatting>
  <conditionalFormatting sqref="K10">
    <cfRule type="expression" dxfId="3734" priority="716">
      <formula>$C10&lt;$E$3</formula>
    </cfRule>
  </conditionalFormatting>
  <conditionalFormatting sqref="K10">
    <cfRule type="expression" dxfId="3733" priority="712">
      <formula>$C10=$E$3</formula>
    </cfRule>
    <cfRule type="expression" dxfId="3732" priority="713">
      <formula>$C10&lt;$E$3</formula>
    </cfRule>
    <cfRule type="cellIs" dxfId="3731" priority="714" operator="equal">
      <formula>0</formula>
    </cfRule>
    <cfRule type="expression" dxfId="3730" priority="715">
      <formula>$C10&gt;$E$3</formula>
    </cfRule>
  </conditionalFormatting>
  <conditionalFormatting sqref="K10">
    <cfRule type="expression" dxfId="3729" priority="711">
      <formula>$C10&lt;$E$3</formula>
    </cfRule>
  </conditionalFormatting>
  <conditionalFormatting sqref="K10">
    <cfRule type="expression" dxfId="3728" priority="707">
      <formula>$C10=$E$3</formula>
    </cfRule>
    <cfRule type="expression" dxfId="3727" priority="708">
      <formula>$C10&lt;$E$3</formula>
    </cfRule>
    <cfRule type="cellIs" dxfId="3726" priority="709" operator="equal">
      <formula>0</formula>
    </cfRule>
    <cfRule type="expression" dxfId="3725" priority="710">
      <formula>$C10&gt;$E$3</formula>
    </cfRule>
  </conditionalFormatting>
  <conditionalFormatting sqref="K10">
    <cfRule type="expression" dxfId="3724" priority="706">
      <formula>$E10=""</formula>
    </cfRule>
  </conditionalFormatting>
  <conditionalFormatting sqref="K10">
    <cfRule type="expression" dxfId="3723" priority="705">
      <formula>$C10&lt;$E$3</formula>
    </cfRule>
  </conditionalFormatting>
  <conditionalFormatting sqref="K10">
    <cfRule type="expression" dxfId="3722" priority="704">
      <formula>$E10=""</formula>
    </cfRule>
  </conditionalFormatting>
  <conditionalFormatting sqref="K10">
    <cfRule type="expression" dxfId="3721" priority="703">
      <formula>$E10=""</formula>
    </cfRule>
  </conditionalFormatting>
  <conditionalFormatting sqref="K10">
    <cfRule type="expression" dxfId="3720" priority="702">
      <formula>$C10&lt;$E$3</formula>
    </cfRule>
  </conditionalFormatting>
  <conditionalFormatting sqref="K10">
    <cfRule type="expression" dxfId="3719" priority="701">
      <formula>$E10=""</formula>
    </cfRule>
  </conditionalFormatting>
  <conditionalFormatting sqref="K10">
    <cfRule type="expression" dxfId="3718" priority="700">
      <formula>$C10&lt;$E$3</formula>
    </cfRule>
  </conditionalFormatting>
  <conditionalFormatting sqref="K10">
    <cfRule type="expression" dxfId="3717" priority="699">
      <formula>$E10=""</formula>
    </cfRule>
  </conditionalFormatting>
  <conditionalFormatting sqref="K10">
    <cfRule type="expression" dxfId="3716" priority="698">
      <formula>$C10&lt;$E$3</formula>
    </cfRule>
  </conditionalFormatting>
  <conditionalFormatting sqref="K10">
    <cfRule type="expression" dxfId="3715" priority="697">
      <formula>$E10=""</formula>
    </cfRule>
  </conditionalFormatting>
  <conditionalFormatting sqref="K5:K9">
    <cfRule type="expression" dxfId="3714" priority="696">
      <formula>$C5&lt;$E$3</formula>
    </cfRule>
  </conditionalFormatting>
  <conditionalFormatting sqref="K5:K9">
    <cfRule type="expression" dxfId="3713" priority="692">
      <formula>$C5=$E$3</formula>
    </cfRule>
    <cfRule type="expression" dxfId="3712" priority="693">
      <formula>$C5&lt;$E$3</formula>
    </cfRule>
    <cfRule type="cellIs" dxfId="3711" priority="694" operator="equal">
      <formula>0</formula>
    </cfRule>
    <cfRule type="expression" dxfId="3710" priority="695">
      <formula>$C5&gt;$E$3</formula>
    </cfRule>
  </conditionalFormatting>
  <conditionalFormatting sqref="K5:K9">
    <cfRule type="expression" dxfId="3709" priority="691">
      <formula>$C5&lt;$E$3</formula>
    </cfRule>
  </conditionalFormatting>
  <conditionalFormatting sqref="K5:K9">
    <cfRule type="expression" dxfId="3708" priority="687">
      <formula>$C5=$E$3</formula>
    </cfRule>
    <cfRule type="expression" dxfId="3707" priority="688">
      <formula>$C5&lt;$E$3</formula>
    </cfRule>
    <cfRule type="cellIs" dxfId="3706" priority="689" operator="equal">
      <formula>0</formula>
    </cfRule>
    <cfRule type="expression" dxfId="3705" priority="690">
      <formula>$C5&gt;$E$3</formula>
    </cfRule>
  </conditionalFormatting>
  <conditionalFormatting sqref="K5:K9">
    <cfRule type="expression" dxfId="3704" priority="686">
      <formula>$C5&lt;$E$3</formula>
    </cfRule>
  </conditionalFormatting>
  <conditionalFormatting sqref="K5:K9">
    <cfRule type="expression" dxfId="3703" priority="682">
      <formula>$C5=$E$3</formula>
    </cfRule>
    <cfRule type="expression" dxfId="3702" priority="683">
      <formula>$C5&lt;$E$3</formula>
    </cfRule>
    <cfRule type="cellIs" dxfId="3701" priority="684" operator="equal">
      <formula>0</formula>
    </cfRule>
    <cfRule type="expression" dxfId="3700" priority="685">
      <formula>$C5&gt;$E$3</formula>
    </cfRule>
  </conditionalFormatting>
  <conditionalFormatting sqref="K5:K9">
    <cfRule type="expression" dxfId="3699" priority="681">
      <formula>$C5&lt;$E$3</formula>
    </cfRule>
  </conditionalFormatting>
  <conditionalFormatting sqref="K5:K9">
    <cfRule type="expression" dxfId="3698" priority="677">
      <formula>$C5=$E$3</formula>
    </cfRule>
    <cfRule type="expression" dxfId="3697" priority="678">
      <formula>$C5&lt;$E$3</formula>
    </cfRule>
    <cfRule type="cellIs" dxfId="3696" priority="679" operator="equal">
      <formula>0</formula>
    </cfRule>
    <cfRule type="expression" dxfId="3695" priority="680">
      <formula>$C5&gt;$E$3</formula>
    </cfRule>
  </conditionalFormatting>
  <conditionalFormatting sqref="K5:K9">
    <cfRule type="expression" dxfId="3694" priority="676">
      <formula>$E5=""</formula>
    </cfRule>
  </conditionalFormatting>
  <conditionalFormatting sqref="K5:K9">
    <cfRule type="expression" dxfId="3693" priority="675">
      <formula>$C5&lt;$E$3</formula>
    </cfRule>
  </conditionalFormatting>
  <conditionalFormatting sqref="K5:K9">
    <cfRule type="expression" dxfId="3692" priority="674">
      <formula>$E5=""</formula>
    </cfRule>
  </conditionalFormatting>
  <conditionalFormatting sqref="K5:K9">
    <cfRule type="expression" dxfId="3691" priority="673">
      <formula>$E5=""</formula>
    </cfRule>
  </conditionalFormatting>
  <conditionalFormatting sqref="K5:K9">
    <cfRule type="expression" dxfId="3690" priority="672">
      <formula>$C5&lt;$E$3</formula>
    </cfRule>
  </conditionalFormatting>
  <conditionalFormatting sqref="K5:K9">
    <cfRule type="expression" dxfId="3689" priority="671">
      <formula>$E5=""</formula>
    </cfRule>
  </conditionalFormatting>
  <conditionalFormatting sqref="K5:K9">
    <cfRule type="expression" dxfId="3688" priority="670">
      <formula>$C5&lt;$E$3</formula>
    </cfRule>
  </conditionalFormatting>
  <conditionalFormatting sqref="K5:K9">
    <cfRule type="expression" dxfId="3687" priority="669">
      <formula>$E5=""</formula>
    </cfRule>
  </conditionalFormatting>
  <conditionalFormatting sqref="K5:K9">
    <cfRule type="expression" dxfId="3686" priority="668">
      <formula>$C5&lt;$E$3</formula>
    </cfRule>
  </conditionalFormatting>
  <conditionalFormatting sqref="K5:K9">
    <cfRule type="expression" dxfId="3685" priority="667">
      <formula>$E5=""</formula>
    </cfRule>
  </conditionalFormatting>
  <conditionalFormatting sqref="K5:K9">
    <cfRule type="expression" dxfId="3684" priority="666">
      <formula>$C5&lt;$E$3</formula>
    </cfRule>
  </conditionalFormatting>
  <conditionalFormatting sqref="K5:K9">
    <cfRule type="expression" dxfId="3683" priority="662">
      <formula>$C5=$E$3</formula>
    </cfRule>
    <cfRule type="expression" dxfId="3682" priority="663">
      <formula>$C5&lt;$E$3</formula>
    </cfRule>
    <cfRule type="cellIs" dxfId="3681" priority="664" operator="equal">
      <formula>0</formula>
    </cfRule>
    <cfRule type="expression" dxfId="3680" priority="665">
      <formula>$C5&gt;$E$3</formula>
    </cfRule>
  </conditionalFormatting>
  <conditionalFormatting sqref="K5:K9">
    <cfRule type="expression" dxfId="3679" priority="661">
      <formula>$C5&lt;$E$3</formula>
    </cfRule>
  </conditionalFormatting>
  <conditionalFormatting sqref="K5:K9">
    <cfRule type="expression" dxfId="3678" priority="657">
      <formula>$C5=$E$3</formula>
    </cfRule>
    <cfRule type="expression" dxfId="3677" priority="658">
      <formula>$C5&lt;$E$3</formula>
    </cfRule>
    <cfRule type="cellIs" dxfId="3676" priority="659" operator="equal">
      <formula>0</formula>
    </cfRule>
    <cfRule type="expression" dxfId="3675" priority="660">
      <formula>$C5&gt;$E$3</formula>
    </cfRule>
  </conditionalFormatting>
  <conditionalFormatting sqref="K5:K9">
    <cfRule type="expression" dxfId="3674" priority="656">
      <formula>$C5&lt;$E$3</formula>
    </cfRule>
  </conditionalFormatting>
  <conditionalFormatting sqref="K5:K9">
    <cfRule type="expression" dxfId="3673" priority="652">
      <formula>$C5=$E$3</formula>
    </cfRule>
    <cfRule type="expression" dxfId="3672" priority="653">
      <formula>$C5&lt;$E$3</formula>
    </cfRule>
    <cfRule type="cellIs" dxfId="3671" priority="654" operator="equal">
      <formula>0</formula>
    </cfRule>
    <cfRule type="expression" dxfId="3670" priority="655">
      <formula>$C5&gt;$E$3</formula>
    </cfRule>
  </conditionalFormatting>
  <conditionalFormatting sqref="K5:K9">
    <cfRule type="expression" dxfId="3669" priority="651">
      <formula>$C5&lt;$E$3</formula>
    </cfRule>
  </conditionalFormatting>
  <conditionalFormatting sqref="K5:K9">
    <cfRule type="expression" dxfId="3668" priority="647">
      <formula>$C5=$E$3</formula>
    </cfRule>
    <cfRule type="expression" dxfId="3667" priority="648">
      <formula>$C5&lt;$E$3</formula>
    </cfRule>
    <cfRule type="cellIs" dxfId="3666" priority="649" operator="equal">
      <formula>0</formula>
    </cfRule>
    <cfRule type="expression" dxfId="3665" priority="650">
      <formula>$C5&gt;$E$3</formula>
    </cfRule>
  </conditionalFormatting>
  <conditionalFormatting sqref="K5:K9">
    <cfRule type="expression" dxfId="3664" priority="646">
      <formula>$E5=""</formula>
    </cfRule>
  </conditionalFormatting>
  <conditionalFormatting sqref="K5:K9">
    <cfRule type="expression" dxfId="3663" priority="645">
      <formula>$C5&lt;$E$3</formula>
    </cfRule>
  </conditionalFormatting>
  <conditionalFormatting sqref="K5:K9">
    <cfRule type="expression" dxfId="3662" priority="644">
      <formula>$E5=""</formula>
    </cfRule>
  </conditionalFormatting>
  <conditionalFormatting sqref="K5:K9">
    <cfRule type="expression" dxfId="3661" priority="643">
      <formula>$E5=""</formula>
    </cfRule>
  </conditionalFormatting>
  <conditionalFormatting sqref="K5:K9">
    <cfRule type="expression" dxfId="3660" priority="642">
      <formula>$C5&lt;$E$3</formula>
    </cfRule>
  </conditionalFormatting>
  <conditionalFormatting sqref="K5:K9">
    <cfRule type="expression" dxfId="3659" priority="641">
      <formula>$E5=""</formula>
    </cfRule>
  </conditionalFormatting>
  <conditionalFormatting sqref="K5:K9">
    <cfRule type="expression" dxfId="3658" priority="640">
      <formula>$C5&lt;$E$3</formula>
    </cfRule>
  </conditionalFormatting>
  <conditionalFormatting sqref="K5:K9">
    <cfRule type="expression" dxfId="3657" priority="639">
      <formula>$E5=""</formula>
    </cfRule>
  </conditionalFormatting>
  <conditionalFormatting sqref="K5:K9">
    <cfRule type="expression" dxfId="3656" priority="638">
      <formula>$C5&lt;$E$3</formula>
    </cfRule>
  </conditionalFormatting>
  <conditionalFormatting sqref="K5:K9">
    <cfRule type="expression" dxfId="3655" priority="637">
      <formula>$E5=""</formula>
    </cfRule>
  </conditionalFormatting>
  <conditionalFormatting sqref="K5:K11">
    <cfRule type="expression" dxfId="3654" priority="635">
      <formula>$C5&lt;$E$3</formula>
    </cfRule>
  </conditionalFormatting>
  <conditionalFormatting sqref="K5:K11">
    <cfRule type="expression" dxfId="3653" priority="632">
      <formula>$C5=$E$3</formula>
    </cfRule>
    <cfRule type="expression" dxfId="3652" priority="633">
      <formula>$C5&lt;$E$3</formula>
    </cfRule>
    <cfRule type="cellIs" dxfId="3651" priority="634" operator="equal">
      <formula>0</formula>
    </cfRule>
    <cfRule type="expression" dxfId="3650" priority="636">
      <formula>$C5&gt;$E$3</formula>
    </cfRule>
  </conditionalFormatting>
  <conditionalFormatting sqref="K5:K11">
    <cfRule type="expression" dxfId="3649" priority="631">
      <formula>$E5=""</formula>
    </cfRule>
  </conditionalFormatting>
  <conditionalFormatting sqref="K5:K11">
    <cfRule type="expression" dxfId="3648" priority="630">
      <formula>$E5=""</formula>
    </cfRule>
  </conditionalFormatting>
  <conditionalFormatting sqref="K5:K11">
    <cfRule type="expression" dxfId="3647" priority="629">
      <formula>$E5=""</formula>
    </cfRule>
  </conditionalFormatting>
  <conditionalFormatting sqref="K14:K20">
    <cfRule type="cellIs" dxfId="3646" priority="628" stopIfTrue="1" operator="lessThan">
      <formula>0</formula>
    </cfRule>
  </conditionalFormatting>
  <conditionalFormatting sqref="K14:K20">
    <cfRule type="expression" dxfId="3645" priority="626">
      <formula>$C14&lt;$E$3</formula>
    </cfRule>
  </conditionalFormatting>
  <conditionalFormatting sqref="K14:K20">
    <cfRule type="expression" dxfId="3644" priority="623">
      <formula>$C14=$E$3</formula>
    </cfRule>
    <cfRule type="expression" dxfId="3643" priority="624">
      <formula>$C14&lt;$E$3</formula>
    </cfRule>
    <cfRule type="cellIs" dxfId="3642" priority="625" operator="equal">
      <formula>0</formula>
    </cfRule>
    <cfRule type="expression" dxfId="3641" priority="627">
      <formula>$C14&gt;$E$3</formula>
    </cfRule>
  </conditionalFormatting>
  <conditionalFormatting sqref="K14:K20">
    <cfRule type="expression" dxfId="3640" priority="622">
      <formula>$E14=""</formula>
    </cfRule>
  </conditionalFormatting>
  <conditionalFormatting sqref="K14:K20">
    <cfRule type="expression" dxfId="3639" priority="621">
      <formula>$E14=""</formula>
    </cfRule>
  </conditionalFormatting>
  <conditionalFormatting sqref="K14:K20">
    <cfRule type="expression" dxfId="3638" priority="620">
      <formula>$E14=""</formula>
    </cfRule>
  </conditionalFormatting>
  <conditionalFormatting sqref="K19">
    <cfRule type="expression" dxfId="3637" priority="619">
      <formula>$C19&lt;$E$3</formula>
    </cfRule>
  </conditionalFormatting>
  <conditionalFormatting sqref="K19">
    <cfRule type="expression" dxfId="3636" priority="615">
      <formula>$C19=$E$3</formula>
    </cfRule>
    <cfRule type="expression" dxfId="3635" priority="616">
      <formula>$C19&lt;$E$3</formula>
    </cfRule>
    <cfRule type="cellIs" dxfId="3634" priority="617" operator="equal">
      <formula>0</formula>
    </cfRule>
    <cfRule type="expression" dxfId="3633" priority="618">
      <formula>$C19&gt;$E$3</formula>
    </cfRule>
  </conditionalFormatting>
  <conditionalFormatting sqref="K19">
    <cfRule type="expression" dxfId="3632" priority="614">
      <formula>$C19&lt;$E$3</formula>
    </cfRule>
  </conditionalFormatting>
  <conditionalFormatting sqref="K19">
    <cfRule type="expression" dxfId="3631" priority="610">
      <formula>$C19=$E$3</formula>
    </cfRule>
    <cfRule type="expression" dxfId="3630" priority="611">
      <formula>$C19&lt;$E$3</formula>
    </cfRule>
    <cfRule type="cellIs" dxfId="3629" priority="612" operator="equal">
      <formula>0</formula>
    </cfRule>
    <cfRule type="expression" dxfId="3628" priority="613">
      <formula>$C19&gt;$E$3</formula>
    </cfRule>
  </conditionalFormatting>
  <conditionalFormatting sqref="K19">
    <cfRule type="expression" dxfId="3627" priority="609">
      <formula>$C19&lt;$E$3</formula>
    </cfRule>
  </conditionalFormatting>
  <conditionalFormatting sqref="K19">
    <cfRule type="expression" dxfId="3626" priority="605">
      <formula>$C19=$E$3</formula>
    </cfRule>
    <cfRule type="expression" dxfId="3625" priority="606">
      <formula>$C19&lt;$E$3</formula>
    </cfRule>
    <cfRule type="cellIs" dxfId="3624" priority="607" operator="equal">
      <formula>0</formula>
    </cfRule>
    <cfRule type="expression" dxfId="3623" priority="608">
      <formula>$C19&gt;$E$3</formula>
    </cfRule>
  </conditionalFormatting>
  <conditionalFormatting sqref="K19">
    <cfRule type="expression" dxfId="3622" priority="604">
      <formula>$C19&lt;$E$3</formula>
    </cfRule>
  </conditionalFormatting>
  <conditionalFormatting sqref="K19">
    <cfRule type="expression" dxfId="3621" priority="600">
      <formula>$C19=$E$3</formula>
    </cfRule>
    <cfRule type="expression" dxfId="3620" priority="601">
      <formula>$C19&lt;$E$3</formula>
    </cfRule>
    <cfRule type="cellIs" dxfId="3619" priority="602" operator="equal">
      <formula>0</formula>
    </cfRule>
    <cfRule type="expression" dxfId="3618" priority="603">
      <formula>$C19&gt;$E$3</formula>
    </cfRule>
  </conditionalFormatting>
  <conditionalFormatting sqref="K19">
    <cfRule type="expression" dxfId="3617" priority="599">
      <formula>$E19=""</formula>
    </cfRule>
  </conditionalFormatting>
  <conditionalFormatting sqref="K19">
    <cfRule type="expression" dxfId="3616" priority="598">
      <formula>$C19&lt;$E$3</formula>
    </cfRule>
  </conditionalFormatting>
  <conditionalFormatting sqref="K19">
    <cfRule type="expression" dxfId="3615" priority="597">
      <formula>$E19=""</formula>
    </cfRule>
  </conditionalFormatting>
  <conditionalFormatting sqref="K19">
    <cfRule type="expression" dxfId="3614" priority="596">
      <formula>$E19=""</formula>
    </cfRule>
  </conditionalFormatting>
  <conditionalFormatting sqref="K19">
    <cfRule type="expression" dxfId="3613" priority="595">
      <formula>$C19&lt;$E$3</formula>
    </cfRule>
  </conditionalFormatting>
  <conditionalFormatting sqref="K19">
    <cfRule type="expression" dxfId="3612" priority="594">
      <formula>$E19=""</formula>
    </cfRule>
  </conditionalFormatting>
  <conditionalFormatting sqref="K19">
    <cfRule type="expression" dxfId="3611" priority="593">
      <formula>$C19&lt;$E$3</formula>
    </cfRule>
  </conditionalFormatting>
  <conditionalFormatting sqref="K19">
    <cfRule type="expression" dxfId="3610" priority="592">
      <formula>$E19=""</formula>
    </cfRule>
  </conditionalFormatting>
  <conditionalFormatting sqref="K19">
    <cfRule type="expression" dxfId="3609" priority="591">
      <formula>$C19&lt;$E$3</formula>
    </cfRule>
  </conditionalFormatting>
  <conditionalFormatting sqref="K19">
    <cfRule type="expression" dxfId="3608" priority="590">
      <formula>$E19=""</formula>
    </cfRule>
  </conditionalFormatting>
  <conditionalFormatting sqref="K19">
    <cfRule type="expression" dxfId="3607" priority="589">
      <formula>$C19&lt;$E$3</formula>
    </cfRule>
  </conditionalFormatting>
  <conditionalFormatting sqref="K19">
    <cfRule type="expression" dxfId="3606" priority="585">
      <formula>$C19=$E$3</formula>
    </cfRule>
    <cfRule type="expression" dxfId="3605" priority="586">
      <formula>$C19&lt;$E$3</formula>
    </cfRule>
    <cfRule type="cellIs" dxfId="3604" priority="587" operator="equal">
      <formula>0</formula>
    </cfRule>
    <cfRule type="expression" dxfId="3603" priority="588">
      <formula>$C19&gt;$E$3</formula>
    </cfRule>
  </conditionalFormatting>
  <conditionalFormatting sqref="K19">
    <cfRule type="expression" dxfId="3602" priority="584">
      <formula>$C19&lt;$E$3</formula>
    </cfRule>
  </conditionalFormatting>
  <conditionalFormatting sqref="K19">
    <cfRule type="expression" dxfId="3601" priority="580">
      <formula>$C19=$E$3</formula>
    </cfRule>
    <cfRule type="expression" dxfId="3600" priority="581">
      <formula>$C19&lt;$E$3</formula>
    </cfRule>
    <cfRule type="cellIs" dxfId="3599" priority="582" operator="equal">
      <formula>0</formula>
    </cfRule>
    <cfRule type="expression" dxfId="3598" priority="583">
      <formula>$C19&gt;$E$3</formula>
    </cfRule>
  </conditionalFormatting>
  <conditionalFormatting sqref="K19">
    <cfRule type="expression" dxfId="3597" priority="579">
      <formula>$C19&lt;$E$3</formula>
    </cfRule>
  </conditionalFormatting>
  <conditionalFormatting sqref="K19">
    <cfRule type="expression" dxfId="3596" priority="575">
      <formula>$C19=$E$3</formula>
    </cfRule>
    <cfRule type="expression" dxfId="3595" priority="576">
      <formula>$C19&lt;$E$3</formula>
    </cfRule>
    <cfRule type="cellIs" dxfId="3594" priority="577" operator="equal">
      <formula>0</formula>
    </cfRule>
    <cfRule type="expression" dxfId="3593" priority="578">
      <formula>$C19&gt;$E$3</formula>
    </cfRule>
  </conditionalFormatting>
  <conditionalFormatting sqref="K19">
    <cfRule type="expression" dxfId="3592" priority="574">
      <formula>$C19&lt;$E$3</formula>
    </cfRule>
  </conditionalFormatting>
  <conditionalFormatting sqref="K19">
    <cfRule type="expression" dxfId="3591" priority="570">
      <formula>$C19=$E$3</formula>
    </cfRule>
    <cfRule type="expression" dxfId="3590" priority="571">
      <formula>$C19&lt;$E$3</formula>
    </cfRule>
    <cfRule type="cellIs" dxfId="3589" priority="572" operator="equal">
      <formula>0</formula>
    </cfRule>
    <cfRule type="expression" dxfId="3588" priority="573">
      <formula>$C19&gt;$E$3</formula>
    </cfRule>
  </conditionalFormatting>
  <conditionalFormatting sqref="K19">
    <cfRule type="expression" dxfId="3587" priority="569">
      <formula>$E19=""</formula>
    </cfRule>
  </conditionalFormatting>
  <conditionalFormatting sqref="K19">
    <cfRule type="expression" dxfId="3586" priority="568">
      <formula>$C19&lt;$E$3</formula>
    </cfRule>
  </conditionalFormatting>
  <conditionalFormatting sqref="K19">
    <cfRule type="expression" dxfId="3585" priority="567">
      <formula>$E19=""</formula>
    </cfRule>
  </conditionalFormatting>
  <conditionalFormatting sqref="K19">
    <cfRule type="expression" dxfId="3584" priority="566">
      <formula>$E19=""</formula>
    </cfRule>
  </conditionalFormatting>
  <conditionalFormatting sqref="K19">
    <cfRule type="expression" dxfId="3583" priority="565">
      <formula>$C19&lt;$E$3</formula>
    </cfRule>
  </conditionalFormatting>
  <conditionalFormatting sqref="K19">
    <cfRule type="expression" dxfId="3582" priority="564">
      <formula>$E19=""</formula>
    </cfRule>
  </conditionalFormatting>
  <conditionalFormatting sqref="K19">
    <cfRule type="expression" dxfId="3581" priority="563">
      <formula>$C19&lt;$E$3</formula>
    </cfRule>
  </conditionalFormatting>
  <conditionalFormatting sqref="K19">
    <cfRule type="expression" dxfId="3580" priority="562">
      <formula>$E19=""</formula>
    </cfRule>
  </conditionalFormatting>
  <conditionalFormatting sqref="K19">
    <cfRule type="expression" dxfId="3579" priority="561">
      <formula>$C19&lt;$E$3</formula>
    </cfRule>
  </conditionalFormatting>
  <conditionalFormatting sqref="K19">
    <cfRule type="expression" dxfId="3578" priority="560">
      <formula>$E19=""</formula>
    </cfRule>
  </conditionalFormatting>
  <conditionalFormatting sqref="K14:K18">
    <cfRule type="expression" dxfId="3577" priority="559">
      <formula>$C14&lt;$E$3</formula>
    </cfRule>
  </conditionalFormatting>
  <conditionalFormatting sqref="K14:K18">
    <cfRule type="expression" dxfId="3576" priority="555">
      <formula>$C14=$E$3</formula>
    </cfRule>
    <cfRule type="expression" dxfId="3575" priority="556">
      <formula>$C14&lt;$E$3</formula>
    </cfRule>
    <cfRule type="cellIs" dxfId="3574" priority="557" operator="equal">
      <formula>0</formula>
    </cfRule>
    <cfRule type="expression" dxfId="3573" priority="558">
      <formula>$C14&gt;$E$3</formula>
    </cfRule>
  </conditionalFormatting>
  <conditionalFormatting sqref="K14:K18">
    <cfRule type="expression" dxfId="3572" priority="554">
      <formula>$C14&lt;$E$3</formula>
    </cfRule>
  </conditionalFormatting>
  <conditionalFormatting sqref="K14:K18">
    <cfRule type="expression" dxfId="3571" priority="550">
      <formula>$C14=$E$3</formula>
    </cfRule>
    <cfRule type="expression" dxfId="3570" priority="551">
      <formula>$C14&lt;$E$3</formula>
    </cfRule>
    <cfRule type="cellIs" dxfId="3569" priority="552" operator="equal">
      <formula>0</formula>
    </cfRule>
    <cfRule type="expression" dxfId="3568" priority="553">
      <formula>$C14&gt;$E$3</formula>
    </cfRule>
  </conditionalFormatting>
  <conditionalFormatting sqref="K14:K18">
    <cfRule type="expression" dxfId="3567" priority="549">
      <formula>$C14&lt;$E$3</formula>
    </cfRule>
  </conditionalFormatting>
  <conditionalFormatting sqref="K14:K18">
    <cfRule type="expression" dxfId="3566" priority="545">
      <formula>$C14=$E$3</formula>
    </cfRule>
    <cfRule type="expression" dxfId="3565" priority="546">
      <formula>$C14&lt;$E$3</formula>
    </cfRule>
    <cfRule type="cellIs" dxfId="3564" priority="547" operator="equal">
      <formula>0</formula>
    </cfRule>
    <cfRule type="expression" dxfId="3563" priority="548">
      <formula>$C14&gt;$E$3</formula>
    </cfRule>
  </conditionalFormatting>
  <conditionalFormatting sqref="K14:K18">
    <cfRule type="expression" dxfId="3562" priority="544">
      <formula>$C14&lt;$E$3</formula>
    </cfRule>
  </conditionalFormatting>
  <conditionalFormatting sqref="K14:K18">
    <cfRule type="expression" dxfId="3561" priority="540">
      <formula>$C14=$E$3</formula>
    </cfRule>
    <cfRule type="expression" dxfId="3560" priority="541">
      <formula>$C14&lt;$E$3</formula>
    </cfRule>
    <cfRule type="cellIs" dxfId="3559" priority="542" operator="equal">
      <formula>0</formula>
    </cfRule>
    <cfRule type="expression" dxfId="3558" priority="543">
      <formula>$C14&gt;$E$3</formula>
    </cfRule>
  </conditionalFormatting>
  <conditionalFormatting sqref="K14:K18">
    <cfRule type="expression" dxfId="3557" priority="539">
      <formula>$E14=""</formula>
    </cfRule>
  </conditionalFormatting>
  <conditionalFormatting sqref="K14:K18">
    <cfRule type="expression" dxfId="3556" priority="538">
      <formula>$C14&lt;$E$3</formula>
    </cfRule>
  </conditionalFormatting>
  <conditionalFormatting sqref="K14:K18">
    <cfRule type="expression" dxfId="3555" priority="537">
      <formula>$E14=""</formula>
    </cfRule>
  </conditionalFormatting>
  <conditionalFormatting sqref="K14:K18">
    <cfRule type="expression" dxfId="3554" priority="536">
      <formula>$E14=""</formula>
    </cfRule>
  </conditionalFormatting>
  <conditionalFormatting sqref="K14:K18">
    <cfRule type="expression" dxfId="3553" priority="535">
      <formula>$C14&lt;$E$3</formula>
    </cfRule>
  </conditionalFormatting>
  <conditionalFormatting sqref="K14:K18">
    <cfRule type="expression" dxfId="3552" priority="534">
      <formula>$E14=""</formula>
    </cfRule>
  </conditionalFormatting>
  <conditionalFormatting sqref="K14:K18">
    <cfRule type="expression" dxfId="3551" priority="533">
      <formula>$C14&lt;$E$3</formula>
    </cfRule>
  </conditionalFormatting>
  <conditionalFormatting sqref="K14:K18">
    <cfRule type="expression" dxfId="3550" priority="532">
      <formula>$E14=""</formula>
    </cfRule>
  </conditionalFormatting>
  <conditionalFormatting sqref="K14:K18">
    <cfRule type="expression" dxfId="3549" priority="531">
      <formula>$C14&lt;$E$3</formula>
    </cfRule>
  </conditionalFormatting>
  <conditionalFormatting sqref="K14:K18">
    <cfRule type="expression" dxfId="3548" priority="530">
      <formula>$E14=""</formula>
    </cfRule>
  </conditionalFormatting>
  <conditionalFormatting sqref="K14:K18">
    <cfRule type="expression" dxfId="3547" priority="529">
      <formula>$C14&lt;$E$3</formula>
    </cfRule>
  </conditionalFormatting>
  <conditionalFormatting sqref="K14:K18">
    <cfRule type="expression" dxfId="3546" priority="525">
      <formula>$C14=$E$3</formula>
    </cfRule>
    <cfRule type="expression" dxfId="3545" priority="526">
      <formula>$C14&lt;$E$3</formula>
    </cfRule>
    <cfRule type="cellIs" dxfId="3544" priority="527" operator="equal">
      <formula>0</formula>
    </cfRule>
    <cfRule type="expression" dxfId="3543" priority="528">
      <formula>$C14&gt;$E$3</formula>
    </cfRule>
  </conditionalFormatting>
  <conditionalFormatting sqref="K14:K18">
    <cfRule type="expression" dxfId="3542" priority="524">
      <formula>$C14&lt;$E$3</formula>
    </cfRule>
  </conditionalFormatting>
  <conditionalFormatting sqref="K14:K18">
    <cfRule type="expression" dxfId="3541" priority="520">
      <formula>$C14=$E$3</formula>
    </cfRule>
    <cfRule type="expression" dxfId="3540" priority="521">
      <formula>$C14&lt;$E$3</formula>
    </cfRule>
    <cfRule type="cellIs" dxfId="3539" priority="522" operator="equal">
      <formula>0</formula>
    </cfRule>
    <cfRule type="expression" dxfId="3538" priority="523">
      <formula>$C14&gt;$E$3</formula>
    </cfRule>
  </conditionalFormatting>
  <conditionalFormatting sqref="K14:K18">
    <cfRule type="expression" dxfId="3537" priority="519">
      <formula>$C14&lt;$E$3</formula>
    </cfRule>
  </conditionalFormatting>
  <conditionalFormatting sqref="K14:K18">
    <cfRule type="expression" dxfId="3536" priority="515">
      <formula>$C14=$E$3</formula>
    </cfRule>
    <cfRule type="expression" dxfId="3535" priority="516">
      <formula>$C14&lt;$E$3</formula>
    </cfRule>
    <cfRule type="cellIs" dxfId="3534" priority="517" operator="equal">
      <formula>0</formula>
    </cfRule>
    <cfRule type="expression" dxfId="3533" priority="518">
      <formula>$C14&gt;$E$3</formula>
    </cfRule>
  </conditionalFormatting>
  <conditionalFormatting sqref="K14:K18">
    <cfRule type="expression" dxfId="3532" priority="514">
      <formula>$C14&lt;$E$3</formula>
    </cfRule>
  </conditionalFormatting>
  <conditionalFormatting sqref="K14:K18">
    <cfRule type="expression" dxfId="3531" priority="510">
      <formula>$C14=$E$3</formula>
    </cfRule>
    <cfRule type="expression" dxfId="3530" priority="511">
      <formula>$C14&lt;$E$3</formula>
    </cfRule>
    <cfRule type="cellIs" dxfId="3529" priority="512" operator="equal">
      <formula>0</formula>
    </cfRule>
    <cfRule type="expression" dxfId="3528" priority="513">
      <formula>$C14&gt;$E$3</formula>
    </cfRule>
  </conditionalFormatting>
  <conditionalFormatting sqref="K14:K18">
    <cfRule type="expression" dxfId="3527" priority="509">
      <formula>$E14=""</formula>
    </cfRule>
  </conditionalFormatting>
  <conditionalFormatting sqref="K14:K18">
    <cfRule type="expression" dxfId="3526" priority="508">
      <formula>$C14&lt;$E$3</formula>
    </cfRule>
  </conditionalFormatting>
  <conditionalFormatting sqref="K14:K18">
    <cfRule type="expression" dxfId="3525" priority="507">
      <formula>$E14=""</formula>
    </cfRule>
  </conditionalFormatting>
  <conditionalFormatting sqref="K14:K18">
    <cfRule type="expression" dxfId="3524" priority="506">
      <formula>$E14=""</formula>
    </cfRule>
  </conditionalFormatting>
  <conditionalFormatting sqref="K14:K18">
    <cfRule type="expression" dxfId="3523" priority="505">
      <formula>$C14&lt;$E$3</formula>
    </cfRule>
  </conditionalFormatting>
  <conditionalFormatting sqref="K14:K18">
    <cfRule type="expression" dxfId="3522" priority="504">
      <formula>$E14=""</formula>
    </cfRule>
  </conditionalFormatting>
  <conditionalFormatting sqref="K14:K18">
    <cfRule type="expression" dxfId="3521" priority="503">
      <formula>$C14&lt;$E$3</formula>
    </cfRule>
  </conditionalFormatting>
  <conditionalFormatting sqref="K14:K18">
    <cfRule type="expression" dxfId="3520" priority="502">
      <formula>$E14=""</formula>
    </cfRule>
  </conditionalFormatting>
  <conditionalFormatting sqref="K14:K18">
    <cfRule type="expression" dxfId="3519" priority="501">
      <formula>$C14&lt;$E$3</formula>
    </cfRule>
  </conditionalFormatting>
  <conditionalFormatting sqref="K14:K18">
    <cfRule type="expression" dxfId="3518" priority="500">
      <formula>$E14=""</formula>
    </cfRule>
  </conditionalFormatting>
  <conditionalFormatting sqref="K14:K20">
    <cfRule type="expression" dxfId="3517" priority="498">
      <formula>$C14&lt;$E$3</formula>
    </cfRule>
  </conditionalFormatting>
  <conditionalFormatting sqref="K14:K20">
    <cfRule type="expression" dxfId="3516" priority="495">
      <formula>$C14=$E$3</formula>
    </cfRule>
    <cfRule type="expression" dxfId="3515" priority="496">
      <formula>$C14&lt;$E$3</formula>
    </cfRule>
    <cfRule type="cellIs" dxfId="3514" priority="497" operator="equal">
      <formula>0</formula>
    </cfRule>
    <cfRule type="expression" dxfId="3513" priority="499">
      <formula>$C14&gt;$E$3</formula>
    </cfRule>
  </conditionalFormatting>
  <conditionalFormatting sqref="K14:K20">
    <cfRule type="expression" dxfId="3512" priority="494">
      <formula>$E14=""</formula>
    </cfRule>
  </conditionalFormatting>
  <conditionalFormatting sqref="K14:K20">
    <cfRule type="expression" dxfId="3511" priority="493">
      <formula>$E14=""</formula>
    </cfRule>
  </conditionalFormatting>
  <conditionalFormatting sqref="K14:K20">
    <cfRule type="expression" dxfId="3510" priority="492">
      <formula>$E14=""</formula>
    </cfRule>
  </conditionalFormatting>
  <conditionalFormatting sqref="K23:K29">
    <cfRule type="cellIs" dxfId="3509" priority="491" stopIfTrue="1" operator="lessThan">
      <formula>0</formula>
    </cfRule>
  </conditionalFormatting>
  <conditionalFormatting sqref="K23:K29">
    <cfRule type="expression" dxfId="3508" priority="489">
      <formula>$C23&lt;$E$3</formula>
    </cfRule>
  </conditionalFormatting>
  <conditionalFormatting sqref="K23:K29">
    <cfRule type="expression" dxfId="3507" priority="486">
      <formula>$C23=$E$3</formula>
    </cfRule>
    <cfRule type="expression" dxfId="3506" priority="487">
      <formula>$C23&lt;$E$3</formula>
    </cfRule>
    <cfRule type="cellIs" dxfId="3505" priority="488" operator="equal">
      <formula>0</formula>
    </cfRule>
    <cfRule type="expression" dxfId="3504" priority="490">
      <formula>$C23&gt;$E$3</formula>
    </cfRule>
  </conditionalFormatting>
  <conditionalFormatting sqref="K23:K29">
    <cfRule type="expression" dxfId="3503" priority="485">
      <formula>$E23=""</formula>
    </cfRule>
  </conditionalFormatting>
  <conditionalFormatting sqref="K23:K29">
    <cfRule type="expression" dxfId="3502" priority="484">
      <formula>$E23=""</formula>
    </cfRule>
  </conditionalFormatting>
  <conditionalFormatting sqref="K23:K29">
    <cfRule type="expression" dxfId="3501" priority="483">
      <formula>$E23=""</formula>
    </cfRule>
  </conditionalFormatting>
  <conditionalFormatting sqref="K28">
    <cfRule type="expression" dxfId="3500" priority="482">
      <formula>$C28&lt;$E$3</formula>
    </cfRule>
  </conditionalFormatting>
  <conditionalFormatting sqref="K28">
    <cfRule type="expression" dxfId="3499" priority="478">
      <formula>$C28=$E$3</formula>
    </cfRule>
    <cfRule type="expression" dxfId="3498" priority="479">
      <formula>$C28&lt;$E$3</formula>
    </cfRule>
    <cfRule type="cellIs" dxfId="3497" priority="480" operator="equal">
      <formula>0</formula>
    </cfRule>
    <cfRule type="expression" dxfId="3496" priority="481">
      <formula>$C28&gt;$E$3</formula>
    </cfRule>
  </conditionalFormatting>
  <conditionalFormatting sqref="K28">
    <cfRule type="expression" dxfId="3495" priority="477">
      <formula>$C28&lt;$E$3</formula>
    </cfRule>
  </conditionalFormatting>
  <conditionalFormatting sqref="K28">
    <cfRule type="expression" dxfId="3494" priority="473">
      <formula>$C28=$E$3</formula>
    </cfRule>
    <cfRule type="expression" dxfId="3493" priority="474">
      <formula>$C28&lt;$E$3</formula>
    </cfRule>
    <cfRule type="cellIs" dxfId="3492" priority="475" operator="equal">
      <formula>0</formula>
    </cfRule>
    <cfRule type="expression" dxfId="3491" priority="476">
      <formula>$C28&gt;$E$3</formula>
    </cfRule>
  </conditionalFormatting>
  <conditionalFormatting sqref="K28">
    <cfRule type="expression" dxfId="3490" priority="472">
      <formula>$C28&lt;$E$3</formula>
    </cfRule>
  </conditionalFormatting>
  <conditionalFormatting sqref="K28">
    <cfRule type="expression" dxfId="3489" priority="468">
      <formula>$C28=$E$3</formula>
    </cfRule>
    <cfRule type="expression" dxfId="3488" priority="469">
      <formula>$C28&lt;$E$3</formula>
    </cfRule>
    <cfRule type="cellIs" dxfId="3487" priority="470" operator="equal">
      <formula>0</formula>
    </cfRule>
    <cfRule type="expression" dxfId="3486" priority="471">
      <formula>$C28&gt;$E$3</formula>
    </cfRule>
  </conditionalFormatting>
  <conditionalFormatting sqref="K28">
    <cfRule type="expression" dxfId="3485" priority="467">
      <formula>$C28&lt;$E$3</formula>
    </cfRule>
  </conditionalFormatting>
  <conditionalFormatting sqref="K28">
    <cfRule type="expression" dxfId="3484" priority="463">
      <formula>$C28=$E$3</formula>
    </cfRule>
    <cfRule type="expression" dxfId="3483" priority="464">
      <formula>$C28&lt;$E$3</formula>
    </cfRule>
    <cfRule type="cellIs" dxfId="3482" priority="465" operator="equal">
      <formula>0</formula>
    </cfRule>
    <cfRule type="expression" dxfId="3481" priority="466">
      <formula>$C28&gt;$E$3</formula>
    </cfRule>
  </conditionalFormatting>
  <conditionalFormatting sqref="K28">
    <cfRule type="expression" dxfId="3480" priority="462">
      <formula>$E28=""</formula>
    </cfRule>
  </conditionalFormatting>
  <conditionalFormatting sqref="K28">
    <cfRule type="expression" dxfId="3479" priority="461">
      <formula>$C28&lt;$E$3</formula>
    </cfRule>
  </conditionalFormatting>
  <conditionalFormatting sqref="K28">
    <cfRule type="expression" dxfId="3478" priority="460">
      <formula>$E28=""</formula>
    </cfRule>
  </conditionalFormatting>
  <conditionalFormatting sqref="K28">
    <cfRule type="expression" dxfId="3477" priority="459">
      <formula>$E28=""</formula>
    </cfRule>
  </conditionalFormatting>
  <conditionalFormatting sqref="K28">
    <cfRule type="expression" dxfId="3476" priority="458">
      <formula>$C28&lt;$E$3</formula>
    </cfRule>
  </conditionalFormatting>
  <conditionalFormatting sqref="K28">
    <cfRule type="expression" dxfId="3475" priority="457">
      <formula>$E28=""</formula>
    </cfRule>
  </conditionalFormatting>
  <conditionalFormatting sqref="K28">
    <cfRule type="expression" dxfId="3474" priority="456">
      <formula>$C28&lt;$E$3</formula>
    </cfRule>
  </conditionalFormatting>
  <conditionalFormatting sqref="K28">
    <cfRule type="expression" dxfId="3473" priority="455">
      <formula>$E28=""</formula>
    </cfRule>
  </conditionalFormatting>
  <conditionalFormatting sqref="K28">
    <cfRule type="expression" dxfId="3472" priority="454">
      <formula>$C28&lt;$E$3</formula>
    </cfRule>
  </conditionalFormatting>
  <conditionalFormatting sqref="K28">
    <cfRule type="expression" dxfId="3471" priority="453">
      <formula>$E28=""</formula>
    </cfRule>
  </conditionalFormatting>
  <conditionalFormatting sqref="K28">
    <cfRule type="expression" dxfId="3470" priority="452">
      <formula>$C28&lt;$E$3</formula>
    </cfRule>
  </conditionalFormatting>
  <conditionalFormatting sqref="K28">
    <cfRule type="expression" dxfId="3469" priority="448">
      <formula>$C28=$E$3</formula>
    </cfRule>
    <cfRule type="expression" dxfId="3468" priority="449">
      <formula>$C28&lt;$E$3</formula>
    </cfRule>
    <cfRule type="cellIs" dxfId="3467" priority="450" operator="equal">
      <formula>0</formula>
    </cfRule>
    <cfRule type="expression" dxfId="3466" priority="451">
      <formula>$C28&gt;$E$3</formula>
    </cfRule>
  </conditionalFormatting>
  <conditionalFormatting sqref="K28">
    <cfRule type="expression" dxfId="3465" priority="447">
      <formula>$C28&lt;$E$3</formula>
    </cfRule>
  </conditionalFormatting>
  <conditionalFormatting sqref="K28">
    <cfRule type="expression" dxfId="3464" priority="443">
      <formula>$C28=$E$3</formula>
    </cfRule>
    <cfRule type="expression" dxfId="3463" priority="444">
      <formula>$C28&lt;$E$3</formula>
    </cfRule>
    <cfRule type="cellIs" dxfId="3462" priority="445" operator="equal">
      <formula>0</formula>
    </cfRule>
    <cfRule type="expression" dxfId="3461" priority="446">
      <formula>$C28&gt;$E$3</formula>
    </cfRule>
  </conditionalFormatting>
  <conditionalFormatting sqref="K28">
    <cfRule type="expression" dxfId="3460" priority="442">
      <formula>$C28&lt;$E$3</formula>
    </cfRule>
  </conditionalFormatting>
  <conditionalFormatting sqref="K28">
    <cfRule type="expression" dxfId="3459" priority="438">
      <formula>$C28=$E$3</formula>
    </cfRule>
    <cfRule type="expression" dxfId="3458" priority="439">
      <formula>$C28&lt;$E$3</formula>
    </cfRule>
    <cfRule type="cellIs" dxfId="3457" priority="440" operator="equal">
      <formula>0</formula>
    </cfRule>
    <cfRule type="expression" dxfId="3456" priority="441">
      <formula>$C28&gt;$E$3</formula>
    </cfRule>
  </conditionalFormatting>
  <conditionalFormatting sqref="K28">
    <cfRule type="expression" dxfId="3455" priority="437">
      <formula>$C28&lt;$E$3</formula>
    </cfRule>
  </conditionalFormatting>
  <conditionalFormatting sqref="K28">
    <cfRule type="expression" dxfId="3454" priority="433">
      <formula>$C28=$E$3</formula>
    </cfRule>
    <cfRule type="expression" dxfId="3453" priority="434">
      <formula>$C28&lt;$E$3</formula>
    </cfRule>
    <cfRule type="cellIs" dxfId="3452" priority="435" operator="equal">
      <formula>0</formula>
    </cfRule>
    <cfRule type="expression" dxfId="3451" priority="436">
      <formula>$C28&gt;$E$3</formula>
    </cfRule>
  </conditionalFormatting>
  <conditionalFormatting sqref="K28">
    <cfRule type="expression" dxfId="3450" priority="432">
      <formula>$E28=""</formula>
    </cfRule>
  </conditionalFormatting>
  <conditionalFormatting sqref="K28">
    <cfRule type="expression" dxfId="3449" priority="431">
      <formula>$C28&lt;$E$3</formula>
    </cfRule>
  </conditionalFormatting>
  <conditionalFormatting sqref="K28">
    <cfRule type="expression" dxfId="3448" priority="430">
      <formula>$E28=""</formula>
    </cfRule>
  </conditionalFormatting>
  <conditionalFormatting sqref="K28">
    <cfRule type="expression" dxfId="3447" priority="429">
      <formula>$E28=""</formula>
    </cfRule>
  </conditionalFormatting>
  <conditionalFormatting sqref="K28">
    <cfRule type="expression" dxfId="3446" priority="428">
      <formula>$C28&lt;$E$3</formula>
    </cfRule>
  </conditionalFormatting>
  <conditionalFormatting sqref="K28">
    <cfRule type="expression" dxfId="3445" priority="427">
      <formula>$E28=""</formula>
    </cfRule>
  </conditionalFormatting>
  <conditionalFormatting sqref="K28">
    <cfRule type="expression" dxfId="3444" priority="426">
      <formula>$C28&lt;$E$3</formula>
    </cfRule>
  </conditionalFormatting>
  <conditionalFormatting sqref="K28">
    <cfRule type="expression" dxfId="3443" priority="425">
      <formula>$E28=""</formula>
    </cfRule>
  </conditionalFormatting>
  <conditionalFormatting sqref="K28">
    <cfRule type="expression" dxfId="3442" priority="424">
      <formula>$C28&lt;$E$3</formula>
    </cfRule>
  </conditionalFormatting>
  <conditionalFormatting sqref="K28">
    <cfRule type="expression" dxfId="3441" priority="423">
      <formula>$E28=""</formula>
    </cfRule>
  </conditionalFormatting>
  <conditionalFormatting sqref="K23:K27">
    <cfRule type="expression" dxfId="3440" priority="422">
      <formula>$C23&lt;$E$3</formula>
    </cfRule>
  </conditionalFormatting>
  <conditionalFormatting sqref="K23:K27">
    <cfRule type="expression" dxfId="3439" priority="418">
      <formula>$C23=$E$3</formula>
    </cfRule>
    <cfRule type="expression" dxfId="3438" priority="419">
      <formula>$C23&lt;$E$3</formula>
    </cfRule>
    <cfRule type="cellIs" dxfId="3437" priority="420" operator="equal">
      <formula>0</formula>
    </cfRule>
    <cfRule type="expression" dxfId="3436" priority="421">
      <formula>$C23&gt;$E$3</formula>
    </cfRule>
  </conditionalFormatting>
  <conditionalFormatting sqref="K23:K27">
    <cfRule type="expression" dxfId="3435" priority="417">
      <formula>$C23&lt;$E$3</formula>
    </cfRule>
  </conditionalFormatting>
  <conditionalFormatting sqref="K23:K27">
    <cfRule type="expression" dxfId="3434" priority="413">
      <formula>$C23=$E$3</formula>
    </cfRule>
    <cfRule type="expression" dxfId="3433" priority="414">
      <formula>$C23&lt;$E$3</formula>
    </cfRule>
    <cfRule type="cellIs" dxfId="3432" priority="415" operator="equal">
      <formula>0</formula>
    </cfRule>
    <cfRule type="expression" dxfId="3431" priority="416">
      <formula>$C23&gt;$E$3</formula>
    </cfRule>
  </conditionalFormatting>
  <conditionalFormatting sqref="K23:K27">
    <cfRule type="expression" dxfId="3430" priority="412">
      <formula>$C23&lt;$E$3</formula>
    </cfRule>
  </conditionalFormatting>
  <conditionalFormatting sqref="K23:K27">
    <cfRule type="expression" dxfId="3429" priority="408">
      <formula>$C23=$E$3</formula>
    </cfRule>
    <cfRule type="expression" dxfId="3428" priority="409">
      <formula>$C23&lt;$E$3</formula>
    </cfRule>
    <cfRule type="cellIs" dxfId="3427" priority="410" operator="equal">
      <formula>0</formula>
    </cfRule>
    <cfRule type="expression" dxfId="3426" priority="411">
      <formula>$C23&gt;$E$3</formula>
    </cfRule>
  </conditionalFormatting>
  <conditionalFormatting sqref="K23:K27">
    <cfRule type="expression" dxfId="3425" priority="407">
      <formula>$C23&lt;$E$3</formula>
    </cfRule>
  </conditionalFormatting>
  <conditionalFormatting sqref="K23:K27">
    <cfRule type="expression" dxfId="3424" priority="403">
      <formula>$C23=$E$3</formula>
    </cfRule>
    <cfRule type="expression" dxfId="3423" priority="404">
      <formula>$C23&lt;$E$3</formula>
    </cfRule>
    <cfRule type="cellIs" dxfId="3422" priority="405" operator="equal">
      <formula>0</formula>
    </cfRule>
    <cfRule type="expression" dxfId="3421" priority="406">
      <formula>$C23&gt;$E$3</formula>
    </cfRule>
  </conditionalFormatting>
  <conditionalFormatting sqref="K23:K27">
    <cfRule type="expression" dxfId="3420" priority="402">
      <formula>$E23=""</formula>
    </cfRule>
  </conditionalFormatting>
  <conditionalFormatting sqref="K23:K27">
    <cfRule type="expression" dxfId="3419" priority="401">
      <formula>$C23&lt;$E$3</formula>
    </cfRule>
  </conditionalFormatting>
  <conditionalFormatting sqref="K23:K27">
    <cfRule type="expression" dxfId="3418" priority="400">
      <formula>$E23=""</formula>
    </cfRule>
  </conditionalFormatting>
  <conditionalFormatting sqref="K23:K27">
    <cfRule type="expression" dxfId="3417" priority="399">
      <formula>$E23=""</formula>
    </cfRule>
  </conditionalFormatting>
  <conditionalFormatting sqref="K23:K27">
    <cfRule type="expression" dxfId="3416" priority="398">
      <formula>$C23&lt;$E$3</formula>
    </cfRule>
  </conditionalFormatting>
  <conditionalFormatting sqref="K23:K27">
    <cfRule type="expression" dxfId="3415" priority="397">
      <formula>$E23=""</formula>
    </cfRule>
  </conditionalFormatting>
  <conditionalFormatting sqref="K23:K27">
    <cfRule type="expression" dxfId="3414" priority="396">
      <formula>$C23&lt;$E$3</formula>
    </cfRule>
  </conditionalFormatting>
  <conditionalFormatting sqref="K23:K27">
    <cfRule type="expression" dxfId="3413" priority="395">
      <formula>$E23=""</formula>
    </cfRule>
  </conditionalFormatting>
  <conditionalFormatting sqref="K23:K27">
    <cfRule type="expression" dxfId="3412" priority="394">
      <formula>$C23&lt;$E$3</formula>
    </cfRule>
  </conditionalFormatting>
  <conditionalFormatting sqref="K23:K27">
    <cfRule type="expression" dxfId="3411" priority="393">
      <formula>$E23=""</formula>
    </cfRule>
  </conditionalFormatting>
  <conditionalFormatting sqref="K23:K27">
    <cfRule type="expression" dxfId="3410" priority="392">
      <formula>$C23&lt;$E$3</formula>
    </cfRule>
  </conditionalFormatting>
  <conditionalFormatting sqref="K23:K27">
    <cfRule type="expression" dxfId="3409" priority="388">
      <formula>$C23=$E$3</formula>
    </cfRule>
    <cfRule type="expression" dxfId="3408" priority="389">
      <formula>$C23&lt;$E$3</formula>
    </cfRule>
    <cfRule type="cellIs" dxfId="3407" priority="390" operator="equal">
      <formula>0</formula>
    </cfRule>
    <cfRule type="expression" dxfId="3406" priority="391">
      <formula>$C23&gt;$E$3</formula>
    </cfRule>
  </conditionalFormatting>
  <conditionalFormatting sqref="K23:K27">
    <cfRule type="expression" dxfId="3405" priority="387">
      <formula>$C23&lt;$E$3</formula>
    </cfRule>
  </conditionalFormatting>
  <conditionalFormatting sqref="K23:K27">
    <cfRule type="expression" dxfId="3404" priority="383">
      <formula>$C23=$E$3</formula>
    </cfRule>
    <cfRule type="expression" dxfId="3403" priority="384">
      <formula>$C23&lt;$E$3</formula>
    </cfRule>
    <cfRule type="cellIs" dxfId="3402" priority="385" operator="equal">
      <formula>0</formula>
    </cfRule>
    <cfRule type="expression" dxfId="3401" priority="386">
      <formula>$C23&gt;$E$3</formula>
    </cfRule>
  </conditionalFormatting>
  <conditionalFormatting sqref="K23:K27">
    <cfRule type="expression" dxfId="3400" priority="382">
      <formula>$C23&lt;$E$3</formula>
    </cfRule>
  </conditionalFormatting>
  <conditionalFormatting sqref="K23:K27">
    <cfRule type="expression" dxfId="3399" priority="378">
      <formula>$C23=$E$3</formula>
    </cfRule>
    <cfRule type="expression" dxfId="3398" priority="379">
      <formula>$C23&lt;$E$3</formula>
    </cfRule>
    <cfRule type="cellIs" dxfId="3397" priority="380" operator="equal">
      <formula>0</formula>
    </cfRule>
    <cfRule type="expression" dxfId="3396" priority="381">
      <formula>$C23&gt;$E$3</formula>
    </cfRule>
  </conditionalFormatting>
  <conditionalFormatting sqref="K23:K27">
    <cfRule type="expression" dxfId="3395" priority="377">
      <formula>$C23&lt;$E$3</formula>
    </cfRule>
  </conditionalFormatting>
  <conditionalFormatting sqref="K23:K27">
    <cfRule type="expression" dxfId="3394" priority="373">
      <formula>$C23=$E$3</formula>
    </cfRule>
    <cfRule type="expression" dxfId="3393" priority="374">
      <formula>$C23&lt;$E$3</formula>
    </cfRule>
    <cfRule type="cellIs" dxfId="3392" priority="375" operator="equal">
      <formula>0</formula>
    </cfRule>
    <cfRule type="expression" dxfId="3391" priority="376">
      <formula>$C23&gt;$E$3</formula>
    </cfRule>
  </conditionalFormatting>
  <conditionalFormatting sqref="K23:K27">
    <cfRule type="expression" dxfId="3390" priority="372">
      <formula>$E23=""</formula>
    </cfRule>
  </conditionalFormatting>
  <conditionalFormatting sqref="K23:K27">
    <cfRule type="expression" dxfId="3389" priority="371">
      <formula>$C23&lt;$E$3</formula>
    </cfRule>
  </conditionalFormatting>
  <conditionalFormatting sqref="K23:K27">
    <cfRule type="expression" dxfId="3388" priority="370">
      <formula>$E23=""</formula>
    </cfRule>
  </conditionalFormatting>
  <conditionalFormatting sqref="K23:K27">
    <cfRule type="expression" dxfId="3387" priority="369">
      <formula>$E23=""</formula>
    </cfRule>
  </conditionalFormatting>
  <conditionalFormatting sqref="K23:K27">
    <cfRule type="expression" dxfId="3386" priority="368">
      <formula>$C23&lt;$E$3</formula>
    </cfRule>
  </conditionalFormatting>
  <conditionalFormatting sqref="K23:K27">
    <cfRule type="expression" dxfId="3385" priority="367">
      <formula>$E23=""</formula>
    </cfRule>
  </conditionalFormatting>
  <conditionalFormatting sqref="K23:K27">
    <cfRule type="expression" dxfId="3384" priority="366">
      <formula>$C23&lt;$E$3</formula>
    </cfRule>
  </conditionalFormatting>
  <conditionalFormatting sqref="K23:K27">
    <cfRule type="expression" dxfId="3383" priority="365">
      <formula>$E23=""</formula>
    </cfRule>
  </conditionalFormatting>
  <conditionalFormatting sqref="K23:K27">
    <cfRule type="expression" dxfId="3382" priority="364">
      <formula>$C23&lt;$E$3</formula>
    </cfRule>
  </conditionalFormatting>
  <conditionalFormatting sqref="K23:K27">
    <cfRule type="expression" dxfId="3381" priority="363">
      <formula>$E23=""</formula>
    </cfRule>
  </conditionalFormatting>
  <conditionalFormatting sqref="K23:K29">
    <cfRule type="expression" dxfId="3380" priority="361">
      <formula>$C23&lt;$E$3</formula>
    </cfRule>
  </conditionalFormatting>
  <conditionalFormatting sqref="K23:K29">
    <cfRule type="expression" dxfId="3379" priority="358">
      <formula>$C23=$E$3</formula>
    </cfRule>
    <cfRule type="expression" dxfId="3378" priority="359">
      <formula>$C23&lt;$E$3</formula>
    </cfRule>
    <cfRule type="cellIs" dxfId="3377" priority="360" operator="equal">
      <formula>0</formula>
    </cfRule>
    <cfRule type="expression" dxfId="3376" priority="362">
      <formula>$C23&gt;$E$3</formula>
    </cfRule>
  </conditionalFormatting>
  <conditionalFormatting sqref="K23:K29">
    <cfRule type="expression" dxfId="3375" priority="357">
      <formula>$E23=""</formula>
    </cfRule>
  </conditionalFormatting>
  <conditionalFormatting sqref="K23:K29">
    <cfRule type="expression" dxfId="3374" priority="356">
      <formula>$E23=""</formula>
    </cfRule>
  </conditionalFormatting>
  <conditionalFormatting sqref="K23:K29">
    <cfRule type="expression" dxfId="3373" priority="355">
      <formula>$E23=""</formula>
    </cfRule>
  </conditionalFormatting>
  <conditionalFormatting sqref="K32:K38">
    <cfRule type="cellIs" dxfId="3372" priority="354" stopIfTrue="1" operator="lessThan">
      <formula>0</formula>
    </cfRule>
  </conditionalFormatting>
  <conditionalFormatting sqref="K32:K38">
    <cfRule type="expression" dxfId="3371" priority="352">
      <formula>$C32&lt;$E$3</formula>
    </cfRule>
  </conditionalFormatting>
  <conditionalFormatting sqref="K32:K38">
    <cfRule type="expression" dxfId="3370" priority="349">
      <formula>$C32=$E$3</formula>
    </cfRule>
    <cfRule type="expression" dxfId="3369" priority="350">
      <formula>$C32&lt;$E$3</formula>
    </cfRule>
    <cfRule type="cellIs" dxfId="3368" priority="351" operator="equal">
      <formula>0</formula>
    </cfRule>
    <cfRule type="expression" dxfId="3367" priority="353">
      <formula>$C32&gt;$E$3</formula>
    </cfRule>
  </conditionalFormatting>
  <conditionalFormatting sqref="K32:K38">
    <cfRule type="expression" dxfId="3366" priority="348">
      <formula>$E32=""</formula>
    </cfRule>
  </conditionalFormatting>
  <conditionalFormatting sqref="K32:K38">
    <cfRule type="expression" dxfId="3365" priority="347">
      <formula>$E32=""</formula>
    </cfRule>
  </conditionalFormatting>
  <conditionalFormatting sqref="K32:K38">
    <cfRule type="expression" dxfId="3364" priority="346">
      <formula>$E32=""</formula>
    </cfRule>
  </conditionalFormatting>
  <conditionalFormatting sqref="K37">
    <cfRule type="expression" dxfId="3363" priority="345">
      <formula>$C37&lt;$E$3</formula>
    </cfRule>
  </conditionalFormatting>
  <conditionalFormatting sqref="K37">
    <cfRule type="expression" dxfId="3362" priority="341">
      <formula>$C37=$E$3</formula>
    </cfRule>
    <cfRule type="expression" dxfId="3361" priority="342">
      <formula>$C37&lt;$E$3</formula>
    </cfRule>
    <cfRule type="cellIs" dxfId="3360" priority="343" operator="equal">
      <formula>0</formula>
    </cfRule>
    <cfRule type="expression" dxfId="3359" priority="344">
      <formula>$C37&gt;$E$3</formula>
    </cfRule>
  </conditionalFormatting>
  <conditionalFormatting sqref="K37">
    <cfRule type="expression" dxfId="3358" priority="340">
      <formula>$C37&lt;$E$3</formula>
    </cfRule>
  </conditionalFormatting>
  <conditionalFormatting sqref="K37">
    <cfRule type="expression" dxfId="3357" priority="336">
      <formula>$C37=$E$3</formula>
    </cfRule>
    <cfRule type="expression" dxfId="3356" priority="337">
      <formula>$C37&lt;$E$3</formula>
    </cfRule>
    <cfRule type="cellIs" dxfId="3355" priority="338" operator="equal">
      <formula>0</formula>
    </cfRule>
    <cfRule type="expression" dxfId="3354" priority="339">
      <formula>$C37&gt;$E$3</formula>
    </cfRule>
  </conditionalFormatting>
  <conditionalFormatting sqref="K37">
    <cfRule type="expression" dxfId="3353" priority="325">
      <formula>$E37=""</formula>
    </cfRule>
  </conditionalFormatting>
  <conditionalFormatting sqref="K37">
    <cfRule type="expression" dxfId="3352" priority="324">
      <formula>$C37&lt;$E$3</formula>
    </cfRule>
  </conditionalFormatting>
  <conditionalFormatting sqref="K37">
    <cfRule type="expression" dxfId="3351" priority="323">
      <formula>$E37=""</formula>
    </cfRule>
  </conditionalFormatting>
  <conditionalFormatting sqref="K37">
    <cfRule type="expression" dxfId="3350" priority="322">
      <formula>$E37=""</formula>
    </cfRule>
  </conditionalFormatting>
  <conditionalFormatting sqref="K37">
    <cfRule type="expression" dxfId="3349" priority="321">
      <formula>$C37&lt;$E$3</formula>
    </cfRule>
  </conditionalFormatting>
  <conditionalFormatting sqref="K37">
    <cfRule type="expression" dxfId="3348" priority="320">
      <formula>$E37=""</formula>
    </cfRule>
  </conditionalFormatting>
  <conditionalFormatting sqref="K37">
    <cfRule type="expression" dxfId="3347" priority="319">
      <formula>$C37&lt;$E$3</formula>
    </cfRule>
  </conditionalFormatting>
  <conditionalFormatting sqref="K37">
    <cfRule type="expression" dxfId="3346" priority="318">
      <formula>$E37=""</formula>
    </cfRule>
  </conditionalFormatting>
  <conditionalFormatting sqref="K37">
    <cfRule type="expression" dxfId="3345" priority="317">
      <formula>$C37&lt;$E$3</formula>
    </cfRule>
  </conditionalFormatting>
  <conditionalFormatting sqref="K37">
    <cfRule type="expression" dxfId="3344" priority="316">
      <formula>$E37=""</formula>
    </cfRule>
  </conditionalFormatting>
  <conditionalFormatting sqref="K37">
    <cfRule type="expression" dxfId="3343" priority="315">
      <formula>$C37&lt;$E$3</formula>
    </cfRule>
  </conditionalFormatting>
  <conditionalFormatting sqref="K37">
    <cfRule type="expression" dxfId="3342" priority="311">
      <formula>$C37=$E$3</formula>
    </cfRule>
    <cfRule type="expression" dxfId="3341" priority="312">
      <formula>$C37&lt;$E$3</formula>
    </cfRule>
    <cfRule type="cellIs" dxfId="3340" priority="313" operator="equal">
      <formula>0</formula>
    </cfRule>
    <cfRule type="expression" dxfId="3339" priority="314">
      <formula>$C37&gt;$E$3</formula>
    </cfRule>
  </conditionalFormatting>
  <conditionalFormatting sqref="K37">
    <cfRule type="expression" dxfId="3338" priority="310">
      <formula>$C37&lt;$E$3</formula>
    </cfRule>
  </conditionalFormatting>
  <conditionalFormatting sqref="K37">
    <cfRule type="expression" dxfId="3337" priority="306">
      <formula>$C37=$E$3</formula>
    </cfRule>
    <cfRule type="expression" dxfId="3336" priority="307">
      <formula>$C37&lt;$E$3</formula>
    </cfRule>
    <cfRule type="cellIs" dxfId="3335" priority="308" operator="equal">
      <formula>0</formula>
    </cfRule>
    <cfRule type="expression" dxfId="3334" priority="309">
      <formula>$C37&gt;$E$3</formula>
    </cfRule>
  </conditionalFormatting>
  <conditionalFormatting sqref="K37">
    <cfRule type="expression" dxfId="3333" priority="295">
      <formula>$E37=""</formula>
    </cfRule>
  </conditionalFormatting>
  <conditionalFormatting sqref="K37">
    <cfRule type="expression" dxfId="3332" priority="294">
      <formula>$C37&lt;$E$3</formula>
    </cfRule>
  </conditionalFormatting>
  <conditionalFormatting sqref="K37">
    <cfRule type="expression" dxfId="3331" priority="293">
      <formula>$E37=""</formula>
    </cfRule>
  </conditionalFormatting>
  <conditionalFormatting sqref="K37">
    <cfRule type="expression" dxfId="3330" priority="292">
      <formula>$E37=""</formula>
    </cfRule>
  </conditionalFormatting>
  <conditionalFormatting sqref="K37">
    <cfRule type="expression" dxfId="3329" priority="291">
      <formula>$C37&lt;$E$3</formula>
    </cfRule>
  </conditionalFormatting>
  <conditionalFormatting sqref="K37">
    <cfRule type="expression" dxfId="3328" priority="290">
      <formula>$E37=""</formula>
    </cfRule>
  </conditionalFormatting>
  <conditionalFormatting sqref="K37">
    <cfRule type="expression" dxfId="3327" priority="289">
      <formula>$C37&lt;$E$3</formula>
    </cfRule>
  </conditionalFormatting>
  <conditionalFormatting sqref="K37">
    <cfRule type="expression" dxfId="3326" priority="288">
      <formula>$E37=""</formula>
    </cfRule>
  </conditionalFormatting>
  <conditionalFormatting sqref="K37">
    <cfRule type="expression" dxfId="3325" priority="287">
      <formula>$C37&lt;$E$3</formula>
    </cfRule>
  </conditionalFormatting>
  <conditionalFormatting sqref="K37">
    <cfRule type="expression" dxfId="3324" priority="286">
      <formula>$E37=""</formula>
    </cfRule>
  </conditionalFormatting>
  <conditionalFormatting sqref="K32:K36">
    <cfRule type="expression" dxfId="3323" priority="285">
      <formula>$C32&lt;$E$3</formula>
    </cfRule>
  </conditionalFormatting>
  <conditionalFormatting sqref="K32:K36">
    <cfRule type="expression" dxfId="3322" priority="281">
      <formula>$C32=$E$3</formula>
    </cfRule>
    <cfRule type="expression" dxfId="3321" priority="282">
      <formula>$C32&lt;$E$3</formula>
    </cfRule>
    <cfRule type="cellIs" dxfId="3320" priority="283" operator="equal">
      <formula>0</formula>
    </cfRule>
    <cfRule type="expression" dxfId="3319" priority="284">
      <formula>$C32&gt;$E$3</formula>
    </cfRule>
  </conditionalFormatting>
  <conditionalFormatting sqref="K32:K36">
    <cfRule type="expression" dxfId="3318" priority="280">
      <formula>$C32&lt;$E$3</formula>
    </cfRule>
  </conditionalFormatting>
  <conditionalFormatting sqref="K32:K36">
    <cfRule type="expression" dxfId="3317" priority="276">
      <formula>$C32=$E$3</formula>
    </cfRule>
    <cfRule type="expression" dxfId="3316" priority="277">
      <formula>$C32&lt;$E$3</formula>
    </cfRule>
    <cfRule type="cellIs" dxfId="3315" priority="278" operator="equal">
      <formula>0</formula>
    </cfRule>
    <cfRule type="expression" dxfId="3314" priority="279">
      <formula>$C32&gt;$E$3</formula>
    </cfRule>
  </conditionalFormatting>
  <conditionalFormatting sqref="K32:K36">
    <cfRule type="expression" dxfId="3313" priority="265">
      <formula>$E32=""</formula>
    </cfRule>
  </conditionalFormatting>
  <conditionalFormatting sqref="K32:K36">
    <cfRule type="expression" dxfId="3312" priority="264">
      <formula>$C32&lt;$E$3</formula>
    </cfRule>
  </conditionalFormatting>
  <conditionalFormatting sqref="K32:K36">
    <cfRule type="expression" dxfId="3311" priority="263">
      <formula>$E32=""</formula>
    </cfRule>
  </conditionalFormatting>
  <conditionalFormatting sqref="K32:K36">
    <cfRule type="expression" dxfId="3310" priority="262">
      <formula>$E32=""</formula>
    </cfRule>
  </conditionalFormatting>
  <conditionalFormatting sqref="K32:K36">
    <cfRule type="expression" dxfId="3309" priority="261">
      <formula>$C32&lt;$E$3</formula>
    </cfRule>
  </conditionalFormatting>
  <conditionalFormatting sqref="K32:K36">
    <cfRule type="expression" dxfId="3308" priority="260">
      <formula>$E32=""</formula>
    </cfRule>
  </conditionalFormatting>
  <conditionalFormatting sqref="K32:K36">
    <cfRule type="expression" dxfId="3307" priority="259">
      <formula>$C32&lt;$E$3</formula>
    </cfRule>
  </conditionalFormatting>
  <conditionalFormatting sqref="K32:K36">
    <cfRule type="expression" dxfId="3306" priority="258">
      <formula>$E32=""</formula>
    </cfRule>
  </conditionalFormatting>
  <conditionalFormatting sqref="K32:K36">
    <cfRule type="expression" dxfId="3305" priority="257">
      <formula>$C32&lt;$E$3</formula>
    </cfRule>
  </conditionalFormatting>
  <conditionalFormatting sqref="K32:K36">
    <cfRule type="expression" dxfId="3304" priority="256">
      <formula>$E32=""</formula>
    </cfRule>
  </conditionalFormatting>
  <conditionalFormatting sqref="K32:K36">
    <cfRule type="expression" dxfId="3303" priority="255">
      <formula>$C32&lt;$E$3</formula>
    </cfRule>
  </conditionalFormatting>
  <conditionalFormatting sqref="K32:K36">
    <cfRule type="expression" dxfId="3302" priority="251">
      <formula>$C32=$E$3</formula>
    </cfRule>
    <cfRule type="expression" dxfId="3301" priority="252">
      <formula>$C32&lt;$E$3</formula>
    </cfRule>
    <cfRule type="cellIs" dxfId="3300" priority="253" operator="equal">
      <formula>0</formula>
    </cfRule>
    <cfRule type="expression" dxfId="3299" priority="254">
      <formula>$C32&gt;$E$3</formula>
    </cfRule>
  </conditionalFormatting>
  <conditionalFormatting sqref="K32:K36">
    <cfRule type="expression" dxfId="3298" priority="250">
      <formula>$C32&lt;$E$3</formula>
    </cfRule>
  </conditionalFormatting>
  <conditionalFormatting sqref="K32:K36">
    <cfRule type="expression" dxfId="3297" priority="246">
      <formula>$C32=$E$3</formula>
    </cfRule>
    <cfRule type="expression" dxfId="3296" priority="247">
      <formula>$C32&lt;$E$3</formula>
    </cfRule>
    <cfRule type="cellIs" dxfId="3295" priority="248" operator="equal">
      <formula>0</formula>
    </cfRule>
    <cfRule type="expression" dxfId="3294" priority="249">
      <formula>$C32&gt;$E$3</formula>
    </cfRule>
  </conditionalFormatting>
  <conditionalFormatting sqref="K32:K36">
    <cfRule type="expression" dxfId="3293" priority="245">
      <formula>$C32&lt;$E$3</formula>
    </cfRule>
  </conditionalFormatting>
  <conditionalFormatting sqref="K32:K36">
    <cfRule type="expression" dxfId="3292" priority="241">
      <formula>$C32=$E$3</formula>
    </cfRule>
    <cfRule type="expression" dxfId="3291" priority="242">
      <formula>$C32&lt;$E$3</formula>
    </cfRule>
    <cfRule type="cellIs" dxfId="3290" priority="243" operator="equal">
      <formula>0</formula>
    </cfRule>
    <cfRule type="expression" dxfId="3289" priority="244">
      <formula>$C32&gt;$E$3</formula>
    </cfRule>
  </conditionalFormatting>
  <conditionalFormatting sqref="K32:K36">
    <cfRule type="expression" dxfId="3288" priority="240">
      <formula>$C32&lt;$E$3</formula>
    </cfRule>
  </conditionalFormatting>
  <conditionalFormatting sqref="K32:K36">
    <cfRule type="expression" dxfId="3287" priority="236">
      <formula>$C32=$E$3</formula>
    </cfRule>
    <cfRule type="expression" dxfId="3286" priority="237">
      <formula>$C32&lt;$E$3</formula>
    </cfRule>
    <cfRule type="cellIs" dxfId="3285" priority="238" operator="equal">
      <formula>0</formula>
    </cfRule>
    <cfRule type="expression" dxfId="3284" priority="239">
      <formula>$C32&gt;$E$3</formula>
    </cfRule>
  </conditionalFormatting>
  <conditionalFormatting sqref="K32:K36">
    <cfRule type="expression" dxfId="3283" priority="235">
      <formula>$E32=""</formula>
    </cfRule>
  </conditionalFormatting>
  <conditionalFormatting sqref="K32:K36">
    <cfRule type="expression" dxfId="3282" priority="234">
      <formula>$C32&lt;$E$3</formula>
    </cfRule>
  </conditionalFormatting>
  <conditionalFormatting sqref="K32:K36">
    <cfRule type="expression" dxfId="3281" priority="233">
      <formula>$E32=""</formula>
    </cfRule>
  </conditionalFormatting>
  <conditionalFormatting sqref="K32:K36">
    <cfRule type="expression" dxfId="3280" priority="232">
      <formula>$E32=""</formula>
    </cfRule>
  </conditionalFormatting>
  <conditionalFormatting sqref="K32:K36">
    <cfRule type="expression" dxfId="3279" priority="231">
      <formula>$C32&lt;$E$3</formula>
    </cfRule>
  </conditionalFormatting>
  <conditionalFormatting sqref="K32:K36">
    <cfRule type="expression" dxfId="3278" priority="230">
      <formula>$E32=""</formula>
    </cfRule>
  </conditionalFormatting>
  <conditionalFormatting sqref="K32:K36">
    <cfRule type="expression" dxfId="3277" priority="229">
      <formula>$C32&lt;$E$3</formula>
    </cfRule>
  </conditionalFormatting>
  <conditionalFormatting sqref="K32:K36">
    <cfRule type="expression" dxfId="3276" priority="228">
      <formula>$E32=""</formula>
    </cfRule>
  </conditionalFormatting>
  <conditionalFormatting sqref="K32:K36">
    <cfRule type="expression" dxfId="3275" priority="227">
      <formula>$C32&lt;$E$3</formula>
    </cfRule>
  </conditionalFormatting>
  <conditionalFormatting sqref="K32:K36">
    <cfRule type="expression" dxfId="3274" priority="226">
      <formula>$E32=""</formula>
    </cfRule>
  </conditionalFormatting>
  <conditionalFormatting sqref="K32:K38">
    <cfRule type="expression" dxfId="3273" priority="224">
      <formula>$C32&lt;$E$3</formula>
    </cfRule>
  </conditionalFormatting>
  <conditionalFormatting sqref="K32:K38">
    <cfRule type="expression" dxfId="3272" priority="221">
      <formula>$C32=$E$3</formula>
    </cfRule>
    <cfRule type="expression" dxfId="3271" priority="222">
      <formula>$C32&lt;$E$3</formula>
    </cfRule>
    <cfRule type="cellIs" dxfId="3270" priority="223" operator="equal">
      <formula>0</formula>
    </cfRule>
    <cfRule type="expression" dxfId="3269" priority="225">
      <formula>$C32&gt;$E$3</formula>
    </cfRule>
  </conditionalFormatting>
  <conditionalFormatting sqref="K32:K38">
    <cfRule type="expression" dxfId="3268" priority="220">
      <formula>$E32=""</formula>
    </cfRule>
  </conditionalFormatting>
  <conditionalFormatting sqref="K32:K38">
    <cfRule type="expression" dxfId="3267" priority="219">
      <formula>$E32=""</formula>
    </cfRule>
  </conditionalFormatting>
  <conditionalFormatting sqref="K32:K38">
    <cfRule type="expression" dxfId="3266" priority="218">
      <formula>$E32=""</formula>
    </cfRule>
  </conditionalFormatting>
  <conditionalFormatting sqref="K41:K47">
    <cfRule type="cellIs" dxfId="3265" priority="217" stopIfTrue="1" operator="lessThan">
      <formula>0</formula>
    </cfRule>
  </conditionalFormatting>
  <conditionalFormatting sqref="K41:K47">
    <cfRule type="expression" dxfId="3264" priority="215">
      <formula>$C41&lt;$E$3</formula>
    </cfRule>
  </conditionalFormatting>
  <conditionalFormatting sqref="K41:K47">
    <cfRule type="expression" dxfId="3263" priority="212">
      <formula>$C41=$E$3</formula>
    </cfRule>
    <cfRule type="expression" dxfId="3262" priority="213">
      <formula>$C41&lt;$E$3</formula>
    </cfRule>
    <cfRule type="cellIs" dxfId="3261" priority="214" operator="equal">
      <formula>0</formula>
    </cfRule>
    <cfRule type="expression" dxfId="3260" priority="216">
      <formula>$C41&gt;$E$3</formula>
    </cfRule>
  </conditionalFormatting>
  <conditionalFormatting sqref="K41:K47">
    <cfRule type="expression" dxfId="3259" priority="211">
      <formula>$E41=""</formula>
    </cfRule>
  </conditionalFormatting>
  <conditionalFormatting sqref="K41:K47">
    <cfRule type="expression" dxfId="3258" priority="210">
      <formula>$E41=""</formula>
    </cfRule>
  </conditionalFormatting>
  <conditionalFormatting sqref="K41:K47">
    <cfRule type="expression" dxfId="3257" priority="209">
      <formula>$E41=""</formula>
    </cfRule>
  </conditionalFormatting>
  <conditionalFormatting sqref="K46">
    <cfRule type="expression" dxfId="3256" priority="208">
      <formula>$C46&lt;$E$3</formula>
    </cfRule>
  </conditionalFormatting>
  <conditionalFormatting sqref="K46">
    <cfRule type="expression" dxfId="3255" priority="204">
      <formula>$C46=$E$3</formula>
    </cfRule>
    <cfRule type="expression" dxfId="3254" priority="205">
      <formula>$C46&lt;$E$3</formula>
    </cfRule>
    <cfRule type="cellIs" dxfId="3253" priority="206" operator="equal">
      <formula>0</formula>
    </cfRule>
    <cfRule type="expression" dxfId="3252" priority="207">
      <formula>$C46&gt;$E$3</formula>
    </cfRule>
  </conditionalFormatting>
  <conditionalFormatting sqref="K46">
    <cfRule type="expression" dxfId="3251" priority="203">
      <formula>$C46&lt;$E$3</formula>
    </cfRule>
  </conditionalFormatting>
  <conditionalFormatting sqref="K46">
    <cfRule type="expression" dxfId="3250" priority="199">
      <formula>$C46=$E$3</formula>
    </cfRule>
    <cfRule type="expression" dxfId="3249" priority="200">
      <formula>$C46&lt;$E$3</formula>
    </cfRule>
    <cfRule type="cellIs" dxfId="3248" priority="201" operator="equal">
      <formula>0</formula>
    </cfRule>
    <cfRule type="expression" dxfId="3247" priority="202">
      <formula>$C46&gt;$E$3</formula>
    </cfRule>
  </conditionalFormatting>
  <conditionalFormatting sqref="K46">
    <cfRule type="expression" dxfId="3246" priority="198">
      <formula>$C46&lt;$E$3</formula>
    </cfRule>
  </conditionalFormatting>
  <conditionalFormatting sqref="K46">
    <cfRule type="expression" dxfId="3245" priority="194">
      <formula>$C46=$E$3</formula>
    </cfRule>
    <cfRule type="expression" dxfId="3244" priority="195">
      <formula>$C46&lt;$E$3</formula>
    </cfRule>
    <cfRule type="cellIs" dxfId="3243" priority="196" operator="equal">
      <formula>0</formula>
    </cfRule>
    <cfRule type="expression" dxfId="3242" priority="197">
      <formula>$C46&gt;$E$3</formula>
    </cfRule>
  </conditionalFormatting>
  <conditionalFormatting sqref="K46">
    <cfRule type="expression" dxfId="3241" priority="193">
      <formula>$C46&lt;$E$3</formula>
    </cfRule>
  </conditionalFormatting>
  <conditionalFormatting sqref="K46">
    <cfRule type="expression" dxfId="3240" priority="189">
      <formula>$C46=$E$3</formula>
    </cfRule>
    <cfRule type="expression" dxfId="3239" priority="190">
      <formula>$C46&lt;$E$3</formula>
    </cfRule>
    <cfRule type="cellIs" dxfId="3238" priority="191" operator="equal">
      <formula>0</formula>
    </cfRule>
    <cfRule type="expression" dxfId="3237" priority="192">
      <formula>$C46&gt;$E$3</formula>
    </cfRule>
  </conditionalFormatting>
  <conditionalFormatting sqref="K46">
    <cfRule type="expression" dxfId="3236" priority="188">
      <formula>$E46=""</formula>
    </cfRule>
  </conditionalFormatting>
  <conditionalFormatting sqref="K46">
    <cfRule type="expression" dxfId="3235" priority="187">
      <formula>$C46&lt;$E$3</formula>
    </cfRule>
  </conditionalFormatting>
  <conditionalFormatting sqref="K46">
    <cfRule type="expression" dxfId="3234" priority="186">
      <formula>$E46=""</formula>
    </cfRule>
  </conditionalFormatting>
  <conditionalFormatting sqref="K46">
    <cfRule type="expression" dxfId="3233" priority="185">
      <formula>$E46=""</formula>
    </cfRule>
  </conditionalFormatting>
  <conditionalFormatting sqref="K46">
    <cfRule type="expression" dxfId="3232" priority="184">
      <formula>$C46&lt;$E$3</formula>
    </cfRule>
  </conditionalFormatting>
  <conditionalFormatting sqref="K46">
    <cfRule type="expression" dxfId="3231" priority="183">
      <formula>$E46=""</formula>
    </cfRule>
  </conditionalFormatting>
  <conditionalFormatting sqref="K46">
    <cfRule type="expression" dxfId="3230" priority="182">
      <formula>$C46&lt;$E$3</formula>
    </cfRule>
  </conditionalFormatting>
  <conditionalFormatting sqref="K46">
    <cfRule type="expression" dxfId="3229" priority="181">
      <formula>$E46=""</formula>
    </cfRule>
  </conditionalFormatting>
  <conditionalFormatting sqref="K46">
    <cfRule type="expression" dxfId="3228" priority="180">
      <formula>$C46&lt;$E$3</formula>
    </cfRule>
  </conditionalFormatting>
  <conditionalFormatting sqref="K46">
    <cfRule type="expression" dxfId="3227" priority="179">
      <formula>$E46=""</formula>
    </cfRule>
  </conditionalFormatting>
  <conditionalFormatting sqref="K46">
    <cfRule type="expression" dxfId="3226" priority="178">
      <formula>$C46&lt;$E$3</formula>
    </cfRule>
  </conditionalFormatting>
  <conditionalFormatting sqref="K46">
    <cfRule type="expression" dxfId="3225" priority="174">
      <formula>$C46=$E$3</formula>
    </cfRule>
    <cfRule type="expression" dxfId="3224" priority="175">
      <formula>$C46&lt;$E$3</formula>
    </cfRule>
    <cfRule type="cellIs" dxfId="3223" priority="176" operator="equal">
      <formula>0</formula>
    </cfRule>
    <cfRule type="expression" dxfId="3222" priority="177">
      <formula>$C46&gt;$E$3</formula>
    </cfRule>
  </conditionalFormatting>
  <conditionalFormatting sqref="K46">
    <cfRule type="expression" dxfId="3221" priority="173">
      <formula>$C46&lt;$E$3</formula>
    </cfRule>
  </conditionalFormatting>
  <conditionalFormatting sqref="K46">
    <cfRule type="expression" dxfId="3220" priority="169">
      <formula>$C46=$E$3</formula>
    </cfRule>
    <cfRule type="expression" dxfId="3219" priority="170">
      <formula>$C46&lt;$E$3</formula>
    </cfRule>
    <cfRule type="cellIs" dxfId="3218" priority="171" operator="equal">
      <formula>0</formula>
    </cfRule>
    <cfRule type="expression" dxfId="3217" priority="172">
      <formula>$C46&gt;$E$3</formula>
    </cfRule>
  </conditionalFormatting>
  <conditionalFormatting sqref="K46">
    <cfRule type="expression" dxfId="3216" priority="168">
      <formula>$C46&lt;$E$3</formula>
    </cfRule>
  </conditionalFormatting>
  <conditionalFormatting sqref="K46">
    <cfRule type="expression" dxfId="3215" priority="164">
      <formula>$C46=$E$3</formula>
    </cfRule>
    <cfRule type="expression" dxfId="3214" priority="165">
      <formula>$C46&lt;$E$3</formula>
    </cfRule>
    <cfRule type="cellIs" dxfId="3213" priority="166" operator="equal">
      <formula>0</formula>
    </cfRule>
    <cfRule type="expression" dxfId="3212" priority="167">
      <formula>$C46&gt;$E$3</formula>
    </cfRule>
  </conditionalFormatting>
  <conditionalFormatting sqref="K46">
    <cfRule type="expression" dxfId="3211" priority="163">
      <formula>$C46&lt;$E$3</formula>
    </cfRule>
  </conditionalFormatting>
  <conditionalFormatting sqref="K46">
    <cfRule type="expression" dxfId="3210" priority="159">
      <formula>$C46=$E$3</formula>
    </cfRule>
    <cfRule type="expression" dxfId="3209" priority="160">
      <formula>$C46&lt;$E$3</formula>
    </cfRule>
    <cfRule type="cellIs" dxfId="3208" priority="161" operator="equal">
      <formula>0</formula>
    </cfRule>
    <cfRule type="expression" dxfId="3207" priority="162">
      <formula>$C46&gt;$E$3</formula>
    </cfRule>
  </conditionalFormatting>
  <conditionalFormatting sqref="K46">
    <cfRule type="expression" dxfId="3206" priority="158">
      <formula>$E46=""</formula>
    </cfRule>
  </conditionalFormatting>
  <conditionalFormatting sqref="K46">
    <cfRule type="expression" dxfId="3205" priority="157">
      <formula>$C46&lt;$E$3</formula>
    </cfRule>
  </conditionalFormatting>
  <conditionalFormatting sqref="K46">
    <cfRule type="expression" dxfId="3204" priority="156">
      <formula>$E46=""</formula>
    </cfRule>
  </conditionalFormatting>
  <conditionalFormatting sqref="K46">
    <cfRule type="expression" dxfId="3203" priority="155">
      <formula>$E46=""</formula>
    </cfRule>
  </conditionalFormatting>
  <conditionalFormatting sqref="K46">
    <cfRule type="expression" dxfId="3202" priority="154">
      <formula>$C46&lt;$E$3</formula>
    </cfRule>
  </conditionalFormatting>
  <conditionalFormatting sqref="K46">
    <cfRule type="expression" dxfId="3201" priority="153">
      <formula>$E46=""</formula>
    </cfRule>
  </conditionalFormatting>
  <conditionalFormatting sqref="K46">
    <cfRule type="expression" dxfId="3200" priority="152">
      <formula>$C46&lt;$E$3</formula>
    </cfRule>
  </conditionalFormatting>
  <conditionalFormatting sqref="K46">
    <cfRule type="expression" dxfId="3199" priority="151">
      <formula>$E46=""</formula>
    </cfRule>
  </conditionalFormatting>
  <conditionalFormatting sqref="K46">
    <cfRule type="expression" dxfId="3198" priority="150">
      <formula>$C46&lt;$E$3</formula>
    </cfRule>
  </conditionalFormatting>
  <conditionalFormatting sqref="K46">
    <cfRule type="expression" dxfId="3197" priority="149">
      <formula>$E46=""</formula>
    </cfRule>
  </conditionalFormatting>
  <conditionalFormatting sqref="K41:K45">
    <cfRule type="expression" dxfId="3196" priority="148">
      <formula>$C41&lt;$E$3</formula>
    </cfRule>
  </conditionalFormatting>
  <conditionalFormatting sqref="K41:K45">
    <cfRule type="expression" dxfId="3195" priority="144">
      <formula>$C41=$E$3</formula>
    </cfRule>
    <cfRule type="expression" dxfId="3194" priority="145">
      <formula>$C41&lt;$E$3</formula>
    </cfRule>
    <cfRule type="cellIs" dxfId="3193" priority="146" operator="equal">
      <formula>0</formula>
    </cfRule>
    <cfRule type="expression" dxfId="3192" priority="147">
      <formula>$C41&gt;$E$3</formula>
    </cfRule>
  </conditionalFormatting>
  <conditionalFormatting sqref="K41:K45">
    <cfRule type="expression" dxfId="3191" priority="143">
      <formula>$C41&lt;$E$3</formula>
    </cfRule>
  </conditionalFormatting>
  <conditionalFormatting sqref="K41:K45">
    <cfRule type="expression" dxfId="3190" priority="139">
      <formula>$C41=$E$3</formula>
    </cfRule>
    <cfRule type="expression" dxfId="3189" priority="140">
      <formula>$C41&lt;$E$3</formula>
    </cfRule>
    <cfRule type="cellIs" dxfId="3188" priority="141" operator="equal">
      <formula>0</formula>
    </cfRule>
    <cfRule type="expression" dxfId="3187" priority="142">
      <formula>$C41&gt;$E$3</formula>
    </cfRule>
  </conditionalFormatting>
  <conditionalFormatting sqref="K41:K45">
    <cfRule type="expression" dxfId="3186" priority="138">
      <formula>$C41&lt;$E$3</formula>
    </cfRule>
  </conditionalFormatting>
  <conditionalFormatting sqref="K41:K45">
    <cfRule type="expression" dxfId="3185" priority="134">
      <formula>$C41=$E$3</formula>
    </cfRule>
    <cfRule type="expression" dxfId="3184" priority="135">
      <formula>$C41&lt;$E$3</formula>
    </cfRule>
    <cfRule type="cellIs" dxfId="3183" priority="136" operator="equal">
      <formula>0</formula>
    </cfRule>
    <cfRule type="expression" dxfId="3182" priority="137">
      <formula>$C41&gt;$E$3</formula>
    </cfRule>
  </conditionalFormatting>
  <conditionalFormatting sqref="K41:K45">
    <cfRule type="expression" dxfId="3181" priority="133">
      <formula>$C41&lt;$E$3</formula>
    </cfRule>
  </conditionalFormatting>
  <conditionalFormatting sqref="K41:K45">
    <cfRule type="expression" dxfId="3180" priority="129">
      <formula>$C41=$E$3</formula>
    </cfRule>
    <cfRule type="expression" dxfId="3179" priority="130">
      <formula>$C41&lt;$E$3</formula>
    </cfRule>
    <cfRule type="cellIs" dxfId="3178" priority="131" operator="equal">
      <formula>0</formula>
    </cfRule>
    <cfRule type="expression" dxfId="3177" priority="132">
      <formula>$C41&gt;$E$3</formula>
    </cfRule>
  </conditionalFormatting>
  <conditionalFormatting sqref="K41:K45">
    <cfRule type="expression" dxfId="3176" priority="128">
      <formula>$E41=""</formula>
    </cfRule>
  </conditionalFormatting>
  <conditionalFormatting sqref="K41:K45">
    <cfRule type="expression" dxfId="3175" priority="127">
      <formula>$C41&lt;$E$3</formula>
    </cfRule>
  </conditionalFormatting>
  <conditionalFormatting sqref="K41:K45">
    <cfRule type="expression" dxfId="3174" priority="126">
      <formula>$E41=""</formula>
    </cfRule>
  </conditionalFormatting>
  <conditionalFormatting sqref="K41:K45">
    <cfRule type="expression" dxfId="3173" priority="125">
      <formula>$E41=""</formula>
    </cfRule>
  </conditionalFormatting>
  <conditionalFormatting sqref="K41:K45">
    <cfRule type="expression" dxfId="3172" priority="124">
      <formula>$C41&lt;$E$3</formula>
    </cfRule>
  </conditionalFormatting>
  <conditionalFormatting sqref="K41:K45">
    <cfRule type="expression" dxfId="3171" priority="123">
      <formula>$E41=""</formula>
    </cfRule>
  </conditionalFormatting>
  <conditionalFormatting sqref="K41:K45">
    <cfRule type="expression" dxfId="3170" priority="122">
      <formula>$C41&lt;$E$3</formula>
    </cfRule>
  </conditionalFormatting>
  <conditionalFormatting sqref="K41:K45">
    <cfRule type="expression" dxfId="3169" priority="121">
      <formula>$E41=""</formula>
    </cfRule>
  </conditionalFormatting>
  <conditionalFormatting sqref="K41:K45">
    <cfRule type="expression" dxfId="3168" priority="120">
      <formula>$C41&lt;$E$3</formula>
    </cfRule>
  </conditionalFormatting>
  <conditionalFormatting sqref="K41:K45">
    <cfRule type="expression" dxfId="3167" priority="119">
      <formula>$E41=""</formula>
    </cfRule>
  </conditionalFormatting>
  <conditionalFormatting sqref="K41:K45">
    <cfRule type="expression" dxfId="3166" priority="118">
      <formula>$C41&lt;$E$3</formula>
    </cfRule>
  </conditionalFormatting>
  <conditionalFormatting sqref="K41:K45">
    <cfRule type="expression" dxfId="3165" priority="114">
      <formula>$C41=$E$3</formula>
    </cfRule>
    <cfRule type="expression" dxfId="3164" priority="115">
      <formula>$C41&lt;$E$3</formula>
    </cfRule>
    <cfRule type="cellIs" dxfId="3163" priority="116" operator="equal">
      <formula>0</formula>
    </cfRule>
    <cfRule type="expression" dxfId="3162" priority="117">
      <formula>$C41&gt;$E$3</formula>
    </cfRule>
  </conditionalFormatting>
  <conditionalFormatting sqref="K41:K45">
    <cfRule type="expression" dxfId="3161" priority="113">
      <formula>$C41&lt;$E$3</formula>
    </cfRule>
  </conditionalFormatting>
  <conditionalFormatting sqref="K41:K45">
    <cfRule type="expression" dxfId="3160" priority="109">
      <formula>$C41=$E$3</formula>
    </cfRule>
    <cfRule type="expression" dxfId="3159" priority="110">
      <formula>$C41&lt;$E$3</formula>
    </cfRule>
    <cfRule type="cellIs" dxfId="3158" priority="111" operator="equal">
      <formula>0</formula>
    </cfRule>
    <cfRule type="expression" dxfId="3157" priority="112">
      <formula>$C41&gt;$E$3</formula>
    </cfRule>
  </conditionalFormatting>
  <conditionalFormatting sqref="K41:K45">
    <cfRule type="expression" dxfId="3156" priority="108">
      <formula>$C41&lt;$E$3</formula>
    </cfRule>
  </conditionalFormatting>
  <conditionalFormatting sqref="K41:K45">
    <cfRule type="expression" dxfId="3155" priority="104">
      <formula>$C41=$E$3</formula>
    </cfRule>
    <cfRule type="expression" dxfId="3154" priority="105">
      <formula>$C41&lt;$E$3</formula>
    </cfRule>
    <cfRule type="cellIs" dxfId="3153" priority="106" operator="equal">
      <formula>0</formula>
    </cfRule>
    <cfRule type="expression" dxfId="3152" priority="107">
      <formula>$C41&gt;$E$3</formula>
    </cfRule>
  </conditionalFormatting>
  <conditionalFormatting sqref="K41:K45">
    <cfRule type="expression" dxfId="3151" priority="103">
      <formula>$C41&lt;$E$3</formula>
    </cfRule>
  </conditionalFormatting>
  <conditionalFormatting sqref="K41:K45">
    <cfRule type="expression" dxfId="3150" priority="99">
      <formula>$C41=$E$3</formula>
    </cfRule>
    <cfRule type="expression" dxfId="3149" priority="100">
      <formula>$C41&lt;$E$3</formula>
    </cfRule>
    <cfRule type="cellIs" dxfId="3148" priority="101" operator="equal">
      <formula>0</formula>
    </cfRule>
    <cfRule type="expression" dxfId="3147" priority="102">
      <formula>$C41&gt;$E$3</formula>
    </cfRule>
  </conditionalFormatting>
  <conditionalFormatting sqref="K41:K45">
    <cfRule type="expression" dxfId="3146" priority="98">
      <formula>$E41=""</formula>
    </cfRule>
  </conditionalFormatting>
  <conditionalFormatting sqref="K41:K45">
    <cfRule type="expression" dxfId="3145" priority="97">
      <formula>$C41&lt;$E$3</formula>
    </cfRule>
  </conditionalFormatting>
  <conditionalFormatting sqref="K41:K45">
    <cfRule type="expression" dxfId="3144" priority="96">
      <formula>$E41=""</formula>
    </cfRule>
  </conditionalFormatting>
  <conditionalFormatting sqref="K41:K45">
    <cfRule type="expression" dxfId="3143" priority="95">
      <formula>$E41=""</formula>
    </cfRule>
  </conditionalFormatting>
  <conditionalFormatting sqref="K41:K45">
    <cfRule type="expression" dxfId="3142" priority="94">
      <formula>$C41&lt;$E$3</formula>
    </cfRule>
  </conditionalFormatting>
  <conditionalFormatting sqref="K41:K45">
    <cfRule type="expression" dxfId="3141" priority="93">
      <formula>$E41=""</formula>
    </cfRule>
  </conditionalFormatting>
  <conditionalFormatting sqref="K41:K45">
    <cfRule type="expression" dxfId="3140" priority="92">
      <formula>$C41&lt;$E$3</formula>
    </cfRule>
  </conditionalFormatting>
  <conditionalFormatting sqref="K41:K45">
    <cfRule type="expression" dxfId="3139" priority="91">
      <formula>$E41=""</formula>
    </cfRule>
  </conditionalFormatting>
  <conditionalFormatting sqref="K41:K45">
    <cfRule type="expression" dxfId="3138" priority="90">
      <formula>$C41&lt;$E$3</formula>
    </cfRule>
  </conditionalFormatting>
  <conditionalFormatting sqref="K41:K45">
    <cfRule type="expression" dxfId="3137" priority="89">
      <formula>$E41=""</formula>
    </cfRule>
  </conditionalFormatting>
  <conditionalFormatting sqref="K41:K47">
    <cfRule type="expression" dxfId="3136" priority="87">
      <formula>$C41&lt;$E$3</formula>
    </cfRule>
  </conditionalFormatting>
  <conditionalFormatting sqref="K41:K47">
    <cfRule type="expression" dxfId="3135" priority="84">
      <formula>$C41=$E$3</formula>
    </cfRule>
    <cfRule type="expression" dxfId="3134" priority="85">
      <formula>$C41&lt;$E$3</formula>
    </cfRule>
    <cfRule type="cellIs" dxfId="3133" priority="86" operator="equal">
      <formula>0</formula>
    </cfRule>
    <cfRule type="expression" dxfId="3132" priority="88">
      <formula>$C41&gt;$E$3</formula>
    </cfRule>
  </conditionalFormatting>
  <conditionalFormatting sqref="K41:K47">
    <cfRule type="expression" dxfId="3131" priority="83">
      <formula>$E41=""</formula>
    </cfRule>
  </conditionalFormatting>
  <conditionalFormatting sqref="K41:K47">
    <cfRule type="expression" dxfId="3130" priority="82">
      <formula>$E41=""</formula>
    </cfRule>
  </conditionalFormatting>
  <conditionalFormatting sqref="K41:K47">
    <cfRule type="expression" dxfId="3129" priority="81">
      <formula>$E41=""</formula>
    </cfRule>
  </conditionalFormatting>
  <conditionalFormatting sqref="K50:K51">
    <cfRule type="cellIs" dxfId="3128" priority="80" stopIfTrue="1" operator="lessThan">
      <formula>0</formula>
    </cfRule>
  </conditionalFormatting>
  <conditionalFormatting sqref="K50:K51">
    <cfRule type="expression" dxfId="3127" priority="78">
      <formula>$C50&lt;$E$3</formula>
    </cfRule>
  </conditionalFormatting>
  <conditionalFormatting sqref="K50:K51">
    <cfRule type="expression" dxfId="3126" priority="75">
      <formula>$C50=$E$3</formula>
    </cfRule>
    <cfRule type="expression" dxfId="3125" priority="76">
      <formula>$C50&lt;$E$3</formula>
    </cfRule>
    <cfRule type="cellIs" dxfId="3124" priority="77" operator="equal">
      <formula>0</formula>
    </cfRule>
    <cfRule type="expression" dxfId="3123" priority="79">
      <formula>$C50&gt;$E$3</formula>
    </cfRule>
  </conditionalFormatting>
  <conditionalFormatting sqref="K50:K51">
    <cfRule type="expression" dxfId="3122" priority="74">
      <formula>$E50=""</formula>
    </cfRule>
  </conditionalFormatting>
  <conditionalFormatting sqref="K50:K51">
    <cfRule type="expression" dxfId="3121" priority="73">
      <formula>$E50=""</formula>
    </cfRule>
  </conditionalFormatting>
  <conditionalFormatting sqref="K50:K51">
    <cfRule type="expression" dxfId="3120" priority="72">
      <formula>$E50=""</formula>
    </cfRule>
  </conditionalFormatting>
  <conditionalFormatting sqref="K50:K51">
    <cfRule type="expression" dxfId="3119" priority="71">
      <formula>$C50&lt;$E$3</formula>
    </cfRule>
  </conditionalFormatting>
  <conditionalFormatting sqref="K50:K51">
    <cfRule type="expression" dxfId="3118" priority="67">
      <formula>$C50=$E$3</formula>
    </cfRule>
    <cfRule type="expression" dxfId="3117" priority="68">
      <formula>$C50&lt;$E$3</formula>
    </cfRule>
    <cfRule type="cellIs" dxfId="3116" priority="69" operator="equal">
      <formula>0</formula>
    </cfRule>
    <cfRule type="expression" dxfId="3115" priority="70">
      <formula>$C50&gt;$E$3</formula>
    </cfRule>
  </conditionalFormatting>
  <conditionalFormatting sqref="K50:K51">
    <cfRule type="expression" dxfId="3114" priority="66">
      <formula>$C50&lt;$E$3</formula>
    </cfRule>
  </conditionalFormatting>
  <conditionalFormatting sqref="K50:K51">
    <cfRule type="expression" dxfId="3113" priority="62">
      <formula>$C50=$E$3</formula>
    </cfRule>
    <cfRule type="expression" dxfId="3112" priority="63">
      <formula>$C50&lt;$E$3</formula>
    </cfRule>
    <cfRule type="cellIs" dxfId="3111" priority="64" operator="equal">
      <formula>0</formula>
    </cfRule>
    <cfRule type="expression" dxfId="3110" priority="65">
      <formula>$C50&gt;$E$3</formula>
    </cfRule>
  </conditionalFormatting>
  <conditionalFormatting sqref="K50:K51">
    <cfRule type="expression" dxfId="3109" priority="61">
      <formula>$C50&lt;$E$3</formula>
    </cfRule>
  </conditionalFormatting>
  <conditionalFormatting sqref="K50:K51">
    <cfRule type="expression" dxfId="3108" priority="57">
      <formula>$C50=$E$3</formula>
    </cfRule>
    <cfRule type="expression" dxfId="3107" priority="58">
      <formula>$C50&lt;$E$3</formula>
    </cfRule>
    <cfRule type="cellIs" dxfId="3106" priority="59" operator="equal">
      <formula>0</formula>
    </cfRule>
    <cfRule type="expression" dxfId="3105" priority="60">
      <formula>$C50&gt;$E$3</formula>
    </cfRule>
  </conditionalFormatting>
  <conditionalFormatting sqref="K50:K51">
    <cfRule type="expression" dxfId="3104" priority="56">
      <formula>$C50&lt;$E$3</formula>
    </cfRule>
  </conditionalFormatting>
  <conditionalFormatting sqref="K50:K51">
    <cfRule type="expression" dxfId="3103" priority="52">
      <formula>$C50=$E$3</formula>
    </cfRule>
    <cfRule type="expression" dxfId="3102" priority="53">
      <formula>$C50&lt;$E$3</formula>
    </cfRule>
    <cfRule type="cellIs" dxfId="3101" priority="54" operator="equal">
      <formula>0</formula>
    </cfRule>
    <cfRule type="expression" dxfId="3100" priority="55">
      <formula>$C50&gt;$E$3</formula>
    </cfRule>
  </conditionalFormatting>
  <conditionalFormatting sqref="K50:K51">
    <cfRule type="expression" dxfId="3099" priority="50">
      <formula>$C50&lt;$E$3</formula>
    </cfRule>
  </conditionalFormatting>
  <conditionalFormatting sqref="K50:K51">
    <cfRule type="expression" dxfId="3098" priority="49">
      <formula>$E50=""</formula>
    </cfRule>
  </conditionalFormatting>
  <conditionalFormatting sqref="K50:K51">
    <cfRule type="expression" dxfId="3097" priority="48">
      <formula>$E50=""</formula>
    </cfRule>
  </conditionalFormatting>
  <conditionalFormatting sqref="K50:K51">
    <cfRule type="expression" dxfId="3096" priority="47">
      <formula>$C50&lt;$E$3</formula>
    </cfRule>
  </conditionalFormatting>
  <conditionalFormatting sqref="K50:K51">
    <cfRule type="expression" dxfId="3095" priority="46">
      <formula>$E50=""</formula>
    </cfRule>
  </conditionalFormatting>
  <conditionalFormatting sqref="K50:K51">
    <cfRule type="expression" dxfId="3094" priority="45">
      <formula>$C50&lt;$E$3</formula>
    </cfRule>
  </conditionalFormatting>
  <conditionalFormatting sqref="K50:K51">
    <cfRule type="expression" dxfId="3093" priority="44">
      <formula>$E50=""</formula>
    </cfRule>
  </conditionalFormatting>
  <conditionalFormatting sqref="K50:K51">
    <cfRule type="expression" dxfId="3092" priority="43">
      <formula>$C50&lt;$E$3</formula>
    </cfRule>
  </conditionalFormatting>
  <conditionalFormatting sqref="K50:K51">
    <cfRule type="expression" dxfId="3091" priority="42">
      <formula>$E50=""</formula>
    </cfRule>
  </conditionalFormatting>
  <conditionalFormatting sqref="K50:K51">
    <cfRule type="expression" dxfId="3090" priority="41">
      <formula>$C50&lt;$E$3</formula>
    </cfRule>
  </conditionalFormatting>
  <conditionalFormatting sqref="K50:K51">
    <cfRule type="expression" dxfId="3089" priority="37">
      <formula>$C50=$E$3</formula>
    </cfRule>
    <cfRule type="expression" dxfId="3088" priority="38">
      <formula>$C50&lt;$E$3</formula>
    </cfRule>
    <cfRule type="cellIs" dxfId="3087" priority="39" operator="equal">
      <formula>0</formula>
    </cfRule>
    <cfRule type="expression" dxfId="3086" priority="40">
      <formula>$C50&gt;$E$3</formula>
    </cfRule>
  </conditionalFormatting>
  <conditionalFormatting sqref="K50:K51">
    <cfRule type="expression" dxfId="3085" priority="36">
      <formula>$C50&lt;$E$3</formula>
    </cfRule>
  </conditionalFormatting>
  <conditionalFormatting sqref="K50:K51">
    <cfRule type="expression" dxfId="3084" priority="32">
      <formula>$C50=$E$3</formula>
    </cfRule>
    <cfRule type="expression" dxfId="3083" priority="33">
      <formula>$C50&lt;$E$3</formula>
    </cfRule>
    <cfRule type="cellIs" dxfId="3082" priority="34" operator="equal">
      <formula>0</formula>
    </cfRule>
    <cfRule type="expression" dxfId="3081" priority="35">
      <formula>$C50&gt;$E$3</formula>
    </cfRule>
  </conditionalFormatting>
  <conditionalFormatting sqref="K50:K51">
    <cfRule type="expression" dxfId="3080" priority="31">
      <formula>$C50&lt;$E$3</formula>
    </cfRule>
  </conditionalFormatting>
  <conditionalFormatting sqref="K50:K51">
    <cfRule type="expression" dxfId="3079" priority="27">
      <formula>$C50=$E$3</formula>
    </cfRule>
    <cfRule type="expression" dxfId="3078" priority="28">
      <formula>$C50&lt;$E$3</formula>
    </cfRule>
    <cfRule type="cellIs" dxfId="3077" priority="29" operator="equal">
      <formula>0</formula>
    </cfRule>
    <cfRule type="expression" dxfId="3076" priority="30">
      <formula>$C50&gt;$E$3</formula>
    </cfRule>
  </conditionalFormatting>
  <conditionalFormatting sqref="K50:K51">
    <cfRule type="expression" dxfId="3075" priority="26">
      <formula>$C50&lt;$E$3</formula>
    </cfRule>
  </conditionalFormatting>
  <conditionalFormatting sqref="K50:K51">
    <cfRule type="expression" dxfId="3074" priority="22">
      <formula>$C50=$E$3</formula>
    </cfRule>
    <cfRule type="expression" dxfId="3073" priority="23">
      <formula>$C50&lt;$E$3</formula>
    </cfRule>
    <cfRule type="cellIs" dxfId="3072" priority="24" operator="equal">
      <formula>0</formula>
    </cfRule>
    <cfRule type="expression" dxfId="3071" priority="25">
      <formula>$C50&gt;$E$3</formula>
    </cfRule>
  </conditionalFormatting>
  <conditionalFormatting sqref="K50:K51">
    <cfRule type="expression" dxfId="3070" priority="21">
      <formula>$E50=""</formula>
    </cfRule>
  </conditionalFormatting>
  <conditionalFormatting sqref="K50:K51">
    <cfRule type="expression" dxfId="3069" priority="20">
      <formula>$C50&lt;$E$3</formula>
    </cfRule>
  </conditionalFormatting>
  <conditionalFormatting sqref="K50:K51">
    <cfRule type="expression" dxfId="3068" priority="19">
      <formula>$E50=""</formula>
    </cfRule>
  </conditionalFormatting>
  <conditionalFormatting sqref="K50:K51">
    <cfRule type="expression" dxfId="3067" priority="18">
      <formula>$E50=""</formula>
    </cfRule>
  </conditionalFormatting>
  <conditionalFormatting sqref="K50:K51">
    <cfRule type="expression" dxfId="3066" priority="17">
      <formula>$C50&lt;$E$3</formula>
    </cfRule>
  </conditionalFormatting>
  <conditionalFormatting sqref="K50:K51">
    <cfRule type="expression" dxfId="3065" priority="16">
      <formula>$E50=""</formula>
    </cfRule>
  </conditionalFormatting>
  <conditionalFormatting sqref="K50:K51">
    <cfRule type="expression" dxfId="3064" priority="15">
      <formula>$C50&lt;$E$3</formula>
    </cfRule>
  </conditionalFormatting>
  <conditionalFormatting sqref="K50:K51">
    <cfRule type="expression" dxfId="3063" priority="14">
      <formula>$E50=""</formula>
    </cfRule>
  </conditionalFormatting>
  <conditionalFormatting sqref="K50:K51">
    <cfRule type="expression" dxfId="3062" priority="13">
      <formula>$C50&lt;$E$3</formula>
    </cfRule>
  </conditionalFormatting>
  <conditionalFormatting sqref="K50:K51">
    <cfRule type="expression" dxfId="3061" priority="12">
      <formula>$E50=""</formula>
    </cfRule>
  </conditionalFormatting>
  <conditionalFormatting sqref="K50:K51">
    <cfRule type="expression" dxfId="3060" priority="10">
      <formula>$C50&lt;$E$3</formula>
    </cfRule>
  </conditionalFormatting>
  <conditionalFormatting sqref="K50:K51">
    <cfRule type="expression" dxfId="3059" priority="7">
      <formula>$C50=$E$3</formula>
    </cfRule>
    <cfRule type="expression" dxfId="3058" priority="8">
      <formula>$C50&lt;$E$3</formula>
    </cfRule>
    <cfRule type="cellIs" dxfId="3057" priority="9" operator="equal">
      <formula>0</formula>
    </cfRule>
    <cfRule type="expression" dxfId="3056" priority="11">
      <formula>$C50&gt;$E$3</formula>
    </cfRule>
  </conditionalFormatting>
  <conditionalFormatting sqref="K50:K51">
    <cfRule type="expression" dxfId="3055" priority="6">
      <formula>$E50=""</formula>
    </cfRule>
  </conditionalFormatting>
  <conditionalFormatting sqref="K50:K51">
    <cfRule type="expression" dxfId="3054" priority="5">
      <formula>$E50=""</formula>
    </cfRule>
  </conditionalFormatting>
  <conditionalFormatting sqref="K50:K51">
    <cfRule type="expression" dxfId="3053" priority="4">
      <formula>$E50=""</formula>
    </cfRule>
  </conditionalFormatting>
  <conditionalFormatting sqref="V50:W51 V5:W20 V23:W29 V32:W38 V41:W47">
    <cfRule type="cellIs" dxfId="3052" priority="1" stopIfTrue="1" operator="lessThan">
      <formula>0</formula>
    </cfRule>
  </conditionalFormatting>
  <conditionalFormatting sqref="Q4:Q51 R5:R11 R14:R20 R23:R29 R32:R38 R41:R47 R50:R51 T50:U51 T41:U47 T32:U38 T23:U29 T14:U20 T5:U11">
    <cfRule type="cellIs" dxfId="3051" priority="2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"/>
  <sheetViews>
    <sheetView topLeftCell="D7" workbookViewId="0"/>
  </sheetViews>
  <sheetFormatPr baseColWidth="10" defaultColWidth="11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BB68"/>
  <sheetViews>
    <sheetView zoomScale="75" zoomScaleNormal="75" zoomScalePageLayoutView="75" workbookViewId="0">
      <pane ySplit="4" topLeftCell="A5" activePane="bottomLeft" state="frozen"/>
      <selection activeCell="D1" sqref="D1"/>
      <selection pane="bottomLeft" activeCell="F32" sqref="F32"/>
    </sheetView>
  </sheetViews>
  <sheetFormatPr baseColWidth="10" defaultColWidth="8.83203125" defaultRowHeight="15" x14ac:dyDescent="0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.1640625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" customHeight="1" thickBot="1">
      <c r="A1" s="283">
        <v>10</v>
      </c>
      <c r="B1" s="50" t="s">
        <v>0</v>
      </c>
      <c r="C1" s="51" t="s">
        <v>0</v>
      </c>
      <c r="D1" s="51"/>
      <c r="E1" s="363" t="str">
        <f>VLOOKUP(A1,'MY STATS'!$B$29:$E$40,4)</f>
        <v>Oct.</v>
      </c>
      <c r="F1" s="141" t="s">
        <v>78</v>
      </c>
      <c r="G1" s="142" t="s">
        <v>77</v>
      </c>
      <c r="H1" s="143" t="s">
        <v>79</v>
      </c>
      <c r="I1" s="144"/>
      <c r="J1" s="144" t="s">
        <v>113</v>
      </c>
      <c r="K1" s="127" t="s">
        <v>109</v>
      </c>
      <c r="L1" s="142" t="s">
        <v>114</v>
      </c>
      <c r="M1" s="127" t="s">
        <v>110</v>
      </c>
      <c r="N1" s="321" t="s">
        <v>59</v>
      </c>
      <c r="O1" s="244" t="s">
        <v>31</v>
      </c>
      <c r="P1" s="250" t="s">
        <v>32</v>
      </c>
      <c r="Q1" s="250" t="s">
        <v>32</v>
      </c>
      <c r="R1" s="343" t="s">
        <v>38</v>
      </c>
      <c r="S1" s="364" t="s">
        <v>149</v>
      </c>
      <c r="T1" s="343"/>
      <c r="U1" s="343"/>
      <c r="V1" s="343" t="s">
        <v>107</v>
      </c>
      <c r="W1" s="343" t="s">
        <v>108</v>
      </c>
      <c r="X1" s="250" t="s">
        <v>30</v>
      </c>
      <c r="Y1" s="250" t="s">
        <v>27</v>
      </c>
      <c r="Z1" s="250" t="s">
        <v>28</v>
      </c>
      <c r="AA1" s="344" t="s">
        <v>29</v>
      </c>
      <c r="AB1" s="230"/>
      <c r="AC1" s="97"/>
      <c r="AD1" s="100"/>
    </row>
    <row r="2" spans="1:34" ht="32" hidden="1" thickTop="1" thickBot="1">
      <c r="A2" s="95" t="s">
        <v>75</v>
      </c>
      <c r="B2" s="25">
        <f>VLOOKUP(A1,'MY STATS'!$B$29:$G$40,3)</f>
        <v>43374</v>
      </c>
      <c r="D2" s="45"/>
      <c r="E2" s="2" t="s">
        <v>19</v>
      </c>
      <c r="F2" s="95" t="s">
        <v>74</v>
      </c>
      <c r="G2" s="93" t="s">
        <v>61</v>
      </c>
      <c r="H2" s="64" t="s">
        <v>60</v>
      </c>
      <c r="I2" s="64"/>
      <c r="J2" s="64"/>
      <c r="K2" s="64"/>
      <c r="L2" s="64"/>
      <c r="M2" s="64"/>
      <c r="N2" s="322"/>
      <c r="O2" s="345"/>
      <c r="P2" s="230"/>
      <c r="Q2" s="230"/>
      <c r="R2" s="346">
        <f>'MY STATS'!A15</f>
        <v>1</v>
      </c>
      <c r="S2" s="346"/>
      <c r="T2" s="346"/>
      <c r="U2" s="346"/>
      <c r="V2" s="346"/>
      <c r="W2" s="346"/>
      <c r="X2" s="230"/>
      <c r="Y2" s="230"/>
      <c r="Z2" s="234"/>
      <c r="AA2" s="234"/>
      <c r="AB2" s="230"/>
      <c r="AC2" s="97"/>
      <c r="AD2" s="100"/>
    </row>
    <row r="3" spans="1:34" ht="17" hidden="1" thickTop="1" thickBot="1">
      <c r="A3" s="96">
        <f>'MY STATS'!D41</f>
        <v>43466</v>
      </c>
      <c r="B3" s="25">
        <f>VLOOKUP(A1+1,'MY STATS'!$B$29:$G$41,3)-1</f>
        <v>43404</v>
      </c>
      <c r="C3" s="25">
        <f>VLOOKUP(A1,'MY STATS'!$B$29:$G$40,2)</f>
        <v>43374</v>
      </c>
      <c r="D3" s="46"/>
      <c r="E3" s="4">
        <f ca="1">TODAY()</f>
        <v>43138</v>
      </c>
      <c r="F3" s="65">
        <f>'MY STATS'!B$11</f>
        <v>587410.55929510726</v>
      </c>
      <c r="G3" s="65">
        <f>VLOOKUP(A1-1,'MY STATS'!B$28:J$40,9)</f>
        <v>0</v>
      </c>
      <c r="H3" s="66">
        <f>VLOOKUP($A$1-1,'MY STATS'!$B$28:$I$41,8)</f>
        <v>0</v>
      </c>
      <c r="I3" s="66"/>
      <c r="J3" s="66"/>
      <c r="K3" s="66"/>
      <c r="L3" s="65"/>
      <c r="M3" s="65"/>
      <c r="N3" s="323"/>
      <c r="O3" s="345"/>
      <c r="P3" s="230"/>
      <c r="Q3" s="230"/>
      <c r="R3" s="346"/>
      <c r="S3" s="346"/>
      <c r="T3" s="346"/>
      <c r="U3" s="346"/>
      <c r="V3" s="346"/>
      <c r="W3" s="346"/>
      <c r="X3" s="230"/>
      <c r="Y3" s="230"/>
      <c r="Z3" s="234"/>
      <c r="AA3" s="234"/>
      <c r="AB3" s="230"/>
      <c r="AC3" s="97"/>
      <c r="AD3" s="100"/>
    </row>
    <row r="4" spans="1:34" ht="1" customHeight="1" thickTop="1" thickBot="1">
      <c r="A4" s="3"/>
      <c r="C4" s="37">
        <f>C3-1</f>
        <v>43373</v>
      </c>
      <c r="D4" s="3"/>
      <c r="O4" s="347"/>
      <c r="P4" s="260">
        <f t="shared" ref="P4:P11" si="0">H$56</f>
        <v>197929.98168549727</v>
      </c>
      <c r="Q4" s="169">
        <f>IF(R$2=3,P4,IF(R$2=2,P4*1.0936,IF(R$2=1,P4*0.000568181818*1.0936133,"")))</f>
        <v>122.98798884701669</v>
      </c>
      <c r="R4" s="246"/>
      <c r="S4" s="246"/>
      <c r="T4" s="246"/>
      <c r="U4" s="246"/>
      <c r="V4" s="246"/>
      <c r="W4" s="246"/>
      <c r="X4" s="260"/>
      <c r="Y4" s="260"/>
      <c r="Z4" s="259">
        <v>0</v>
      </c>
      <c r="AA4" s="234"/>
      <c r="AB4" s="230">
        <v>0</v>
      </c>
      <c r="AC4" s="97"/>
      <c r="AD4" s="100"/>
    </row>
    <row r="5" spans="1:34">
      <c r="A5" s="26" t="s">
        <v>8</v>
      </c>
      <c r="B5" s="23">
        <f>IF(B$2&gt;C5,0,C5)</f>
        <v>43374</v>
      </c>
      <c r="C5" s="37">
        <f>C3</f>
        <v>43374</v>
      </c>
      <c r="D5" s="24">
        <f t="shared" ref="D5:D51" ca="1" si="1">TODAY()-C5</f>
        <v>-236</v>
      </c>
      <c r="E5" s="115" t="str">
        <f>IF(B5=0,"","Monday")</f>
        <v>Monday</v>
      </c>
      <c r="F5" s="55"/>
      <c r="G5" s="56"/>
      <c r="H5" s="56"/>
      <c r="I5" s="199"/>
      <c r="J5" s="56"/>
      <c r="K5" s="203" t="str">
        <f t="shared" ref="K5" si="2">IF(R5=0,"",IF(L5="","",J5))</f>
        <v/>
      </c>
      <c r="L5" s="56"/>
      <c r="M5" s="56" t="str">
        <f>IF(R5=0,"",IF(J5="","",L5))</f>
        <v/>
      </c>
      <c r="N5" s="324"/>
      <c r="O5" s="259">
        <f t="shared" ref="O5:O51" si="3">IF(B5=0,"",(F$3-G$3)/(A$3-B$2)+0.1)</f>
        <v>6384.9973836424706</v>
      </c>
      <c r="P5" s="260">
        <f t="shared" si="0"/>
        <v>197929.98168549727</v>
      </c>
      <c r="Q5" s="169">
        <f t="shared" ref="Q5:Q51" si="4">IF(R$2=3,P5,IF(R$2=2,P5*1.0936,IF(R$2=1,P5*0.000568181818*1.0936133,"")))</f>
        <v>122.98798884701669</v>
      </c>
      <c r="R5" s="169">
        <f>IF(R$2=3,H5+G5/1.0936133+F5/0.0006213712,IF(R$2=2,H5*1.0936133+G5+F5/0.0005681818,IF(R$2=1,H5*0.0005681818*1.0936133+G5*0.0005681818+F5,"")))</f>
        <v>0</v>
      </c>
      <c r="S5" s="368" t="str">
        <f>IF(R5=0,"",R5*IF(L5&gt;0,1,0))</f>
        <v/>
      </c>
      <c r="T5" s="169"/>
      <c r="U5" s="169"/>
      <c r="V5" s="170" t="str">
        <f t="shared" ref="V5:V11" si="5">IF(L5="","",IF(R5=0,"",IF(B5=0,"",IF($R$2=3,R5/L5*60/1000,IF($R$2=2,R5/L5*60/1760,IF($R$2=1,R5/L5*60,""))))))</f>
        <v/>
      </c>
      <c r="W5" s="170" t="str">
        <f t="shared" ref="W5:W11" si="6">IF(R5=0,"",IF(L5="","",V5*L5))</f>
        <v/>
      </c>
      <c r="X5" s="259">
        <f t="shared" ref="X5:Z11" si="7">F5+X4</f>
        <v>0</v>
      </c>
      <c r="Y5" s="259">
        <f t="shared" si="7"/>
        <v>0</v>
      </c>
      <c r="Z5" s="259">
        <f t="shared" si="7"/>
        <v>0</v>
      </c>
      <c r="AA5" s="348">
        <f t="shared" ref="AA5:AA51" si="8">Z5/1000+Y5/1093.6133+X5/0.621371192</f>
        <v>0</v>
      </c>
      <c r="AB5" s="349">
        <f>R5</f>
        <v>0</v>
      </c>
      <c r="AC5" s="97"/>
      <c r="AD5" s="100"/>
    </row>
    <row r="6" spans="1:34">
      <c r="A6" s="27"/>
      <c r="B6" s="5">
        <f t="shared" ref="B6:B11" si="9">IF(B$2&gt;C6,0,C6)</f>
        <v>43375</v>
      </c>
      <c r="C6" s="38">
        <f>C3+1</f>
        <v>43375</v>
      </c>
      <c r="D6" s="7">
        <f t="shared" ca="1" si="1"/>
        <v>-237</v>
      </c>
      <c r="E6" s="114" t="str">
        <f>IF(B6=0,"","Tuesday")</f>
        <v>Tuesday</v>
      </c>
      <c r="F6" s="55"/>
      <c r="G6" s="56"/>
      <c r="H6" s="56"/>
      <c r="I6" s="200"/>
      <c r="J6" s="56"/>
      <c r="K6" s="204" t="str">
        <f>IF(R6=0,"",IF(L6="","",J6))</f>
        <v/>
      </c>
      <c r="L6" s="56"/>
      <c r="M6" s="56" t="str">
        <f t="shared" ref="M6:M11" si="10">IF(R6=0,"",IF(J6="","",L6))</f>
        <v/>
      </c>
      <c r="N6" s="324"/>
      <c r="O6" s="259">
        <f t="shared" si="3"/>
        <v>6384.9973836424706</v>
      </c>
      <c r="P6" s="260">
        <f t="shared" si="0"/>
        <v>197929.98168549727</v>
      </c>
      <c r="Q6" s="169">
        <f t="shared" si="4"/>
        <v>122.98798884701669</v>
      </c>
      <c r="R6" s="169">
        <f t="shared" ref="R6:R11" si="11">IF(R$2=3,H6+G6/1.0936133+F6/0.0006213712,IF(R$2=2,H6*1.0936133+G6+F6/0.0005681818,IF(R$2=1,H6*0.0005681818*1.0936133+G6*0.0005681818+F6,"")))</f>
        <v>0</v>
      </c>
      <c r="S6" s="368" t="str">
        <f t="shared" ref="S6:S51" si="12">IF(R6=0,"",R6*IF(L6&gt;0,1,0))</f>
        <v/>
      </c>
      <c r="T6" s="169"/>
      <c r="U6" s="169"/>
      <c r="V6" s="170" t="str">
        <f t="shared" si="5"/>
        <v/>
      </c>
      <c r="W6" s="170" t="str">
        <f t="shared" si="6"/>
        <v/>
      </c>
      <c r="X6" s="259">
        <f t="shared" si="7"/>
        <v>0</v>
      </c>
      <c r="Y6" s="259">
        <f t="shared" si="7"/>
        <v>0</v>
      </c>
      <c r="Z6" s="259">
        <f t="shared" si="7"/>
        <v>0</v>
      </c>
      <c r="AA6" s="348">
        <f t="shared" si="8"/>
        <v>0</v>
      </c>
      <c r="AB6" s="274">
        <f t="shared" ref="AB6:AB51" si="13">AB5+R6</f>
        <v>0</v>
      </c>
      <c r="AC6" s="97"/>
      <c r="AD6" s="100"/>
      <c r="AH6" s="10"/>
    </row>
    <row r="7" spans="1:34">
      <c r="A7" s="27"/>
      <c r="B7" s="5">
        <f t="shared" si="9"/>
        <v>43376</v>
      </c>
      <c r="C7" s="38">
        <f>C3+2</f>
        <v>43376</v>
      </c>
      <c r="D7" s="7">
        <f t="shared" ca="1" si="1"/>
        <v>-238</v>
      </c>
      <c r="E7" s="114" t="str">
        <f>IF(B7=0,"","Wednesday")</f>
        <v>Wednesday</v>
      </c>
      <c r="F7" s="55"/>
      <c r="G7" s="56"/>
      <c r="H7" s="56"/>
      <c r="I7" s="200"/>
      <c r="J7" s="56"/>
      <c r="K7" s="204" t="str">
        <f t="shared" ref="K7:K11" si="14">IF(R7=0,"",IF(L7="","",J7))</f>
        <v/>
      </c>
      <c r="L7" s="56"/>
      <c r="M7" s="56" t="str">
        <f t="shared" si="10"/>
        <v/>
      </c>
      <c r="N7" s="325"/>
      <c r="O7" s="259">
        <f t="shared" si="3"/>
        <v>6384.9973836424706</v>
      </c>
      <c r="P7" s="260">
        <f t="shared" si="0"/>
        <v>197929.98168549727</v>
      </c>
      <c r="Q7" s="169">
        <f t="shared" si="4"/>
        <v>122.98798884701669</v>
      </c>
      <c r="R7" s="169">
        <f t="shared" si="11"/>
        <v>0</v>
      </c>
      <c r="S7" s="368" t="str">
        <f t="shared" si="12"/>
        <v/>
      </c>
      <c r="T7" s="169"/>
      <c r="U7" s="169"/>
      <c r="V7" s="170" t="str">
        <f t="shared" si="5"/>
        <v/>
      </c>
      <c r="W7" s="170" t="str">
        <f t="shared" si="6"/>
        <v/>
      </c>
      <c r="X7" s="259">
        <f t="shared" si="7"/>
        <v>0</v>
      </c>
      <c r="Y7" s="259">
        <f t="shared" si="7"/>
        <v>0</v>
      </c>
      <c r="Z7" s="259">
        <f t="shared" si="7"/>
        <v>0</v>
      </c>
      <c r="AA7" s="348">
        <f t="shared" si="8"/>
        <v>0</v>
      </c>
      <c r="AB7" s="274">
        <f t="shared" si="13"/>
        <v>0</v>
      </c>
      <c r="AC7" s="97"/>
      <c r="AD7" s="100"/>
    </row>
    <row r="8" spans="1:34">
      <c r="A8" s="27"/>
      <c r="B8" s="5">
        <f t="shared" si="9"/>
        <v>43377</v>
      </c>
      <c r="C8" s="38">
        <f>C3+3</f>
        <v>43377</v>
      </c>
      <c r="D8" s="7">
        <f t="shared" ca="1" si="1"/>
        <v>-239</v>
      </c>
      <c r="E8" s="114" t="str">
        <f>IF(B8=0,"","Thursday")</f>
        <v>Thursday</v>
      </c>
      <c r="F8" s="55"/>
      <c r="G8" s="56"/>
      <c r="H8" s="56"/>
      <c r="I8" s="200"/>
      <c r="J8" s="56"/>
      <c r="K8" s="204" t="str">
        <f t="shared" si="14"/>
        <v/>
      </c>
      <c r="L8" s="56"/>
      <c r="M8" s="56" t="str">
        <f t="shared" si="10"/>
        <v/>
      </c>
      <c r="N8" s="324"/>
      <c r="O8" s="259">
        <f t="shared" si="3"/>
        <v>6384.9973836424706</v>
      </c>
      <c r="P8" s="260">
        <f t="shared" si="0"/>
        <v>197929.98168549727</v>
      </c>
      <c r="Q8" s="169">
        <f t="shared" si="4"/>
        <v>122.98798884701669</v>
      </c>
      <c r="R8" s="169">
        <f t="shared" si="11"/>
        <v>0</v>
      </c>
      <c r="S8" s="368" t="str">
        <f t="shared" si="12"/>
        <v/>
      </c>
      <c r="T8" s="169"/>
      <c r="U8" s="169"/>
      <c r="V8" s="170" t="str">
        <f t="shared" si="5"/>
        <v/>
      </c>
      <c r="W8" s="170" t="str">
        <f t="shared" si="6"/>
        <v/>
      </c>
      <c r="X8" s="259">
        <f t="shared" si="7"/>
        <v>0</v>
      </c>
      <c r="Y8" s="259">
        <f t="shared" si="7"/>
        <v>0</v>
      </c>
      <c r="Z8" s="259">
        <f t="shared" si="7"/>
        <v>0</v>
      </c>
      <c r="AA8" s="348">
        <f t="shared" si="8"/>
        <v>0</v>
      </c>
      <c r="AB8" s="274">
        <f t="shared" si="13"/>
        <v>0</v>
      </c>
      <c r="AC8" s="97"/>
      <c r="AD8" s="100"/>
    </row>
    <row r="9" spans="1:34">
      <c r="A9" s="27"/>
      <c r="B9" s="5">
        <f t="shared" si="9"/>
        <v>43378</v>
      </c>
      <c r="C9" s="38">
        <f>C3+4</f>
        <v>43378</v>
      </c>
      <c r="D9" s="7">
        <f t="shared" ca="1" si="1"/>
        <v>-240</v>
      </c>
      <c r="E9" s="114" t="str">
        <f>IF(B9=0,"","Friday")</f>
        <v>Friday</v>
      </c>
      <c r="F9" s="55"/>
      <c r="G9" s="56"/>
      <c r="H9" s="56"/>
      <c r="I9" s="200"/>
      <c r="J9" s="56"/>
      <c r="K9" s="204" t="str">
        <f t="shared" si="14"/>
        <v/>
      </c>
      <c r="L9" s="56"/>
      <c r="M9" s="56" t="str">
        <f t="shared" si="10"/>
        <v/>
      </c>
      <c r="N9" s="324"/>
      <c r="O9" s="259">
        <f t="shared" si="3"/>
        <v>6384.9973836424706</v>
      </c>
      <c r="P9" s="260">
        <f t="shared" si="0"/>
        <v>197929.98168549727</v>
      </c>
      <c r="Q9" s="169">
        <f t="shared" si="4"/>
        <v>122.98798884701669</v>
      </c>
      <c r="R9" s="169">
        <f t="shared" si="11"/>
        <v>0</v>
      </c>
      <c r="S9" s="368" t="str">
        <f t="shared" si="12"/>
        <v/>
      </c>
      <c r="T9" s="169"/>
      <c r="U9" s="169"/>
      <c r="V9" s="170" t="str">
        <f t="shared" si="5"/>
        <v/>
      </c>
      <c r="W9" s="170" t="str">
        <f t="shared" si="6"/>
        <v/>
      </c>
      <c r="X9" s="259">
        <f t="shared" si="7"/>
        <v>0</v>
      </c>
      <c r="Y9" s="259">
        <f t="shared" si="7"/>
        <v>0</v>
      </c>
      <c r="Z9" s="259">
        <f t="shared" si="7"/>
        <v>0</v>
      </c>
      <c r="AA9" s="348">
        <f t="shared" si="8"/>
        <v>0</v>
      </c>
      <c r="AB9" s="274">
        <f t="shared" si="13"/>
        <v>0</v>
      </c>
      <c r="AC9" s="97"/>
      <c r="AD9" s="100"/>
    </row>
    <row r="10" spans="1:34">
      <c r="A10" s="27"/>
      <c r="B10" s="5">
        <f t="shared" si="9"/>
        <v>43379</v>
      </c>
      <c r="C10" s="38">
        <f>C3+5</f>
        <v>43379</v>
      </c>
      <c r="D10" s="7">
        <f t="shared" ca="1" si="1"/>
        <v>-241</v>
      </c>
      <c r="E10" s="114" t="str">
        <f>IF(B10=0,"","Saturday")</f>
        <v>Saturday</v>
      </c>
      <c r="F10" s="55"/>
      <c r="G10" s="56"/>
      <c r="H10" s="56"/>
      <c r="I10" s="200"/>
      <c r="J10" s="56"/>
      <c r="K10" s="204" t="str">
        <f t="shared" si="14"/>
        <v/>
      </c>
      <c r="L10" s="56"/>
      <c r="M10" s="56" t="str">
        <f t="shared" si="10"/>
        <v/>
      </c>
      <c r="N10" s="324"/>
      <c r="O10" s="259">
        <f t="shared" si="3"/>
        <v>6384.9973836424706</v>
      </c>
      <c r="P10" s="260">
        <f t="shared" si="0"/>
        <v>197929.98168549727</v>
      </c>
      <c r="Q10" s="169">
        <f t="shared" si="4"/>
        <v>122.98798884701669</v>
      </c>
      <c r="R10" s="169">
        <f t="shared" si="11"/>
        <v>0</v>
      </c>
      <c r="S10" s="368" t="str">
        <f t="shared" si="12"/>
        <v/>
      </c>
      <c r="T10" s="169"/>
      <c r="U10" s="169"/>
      <c r="V10" s="170" t="str">
        <f t="shared" si="5"/>
        <v/>
      </c>
      <c r="W10" s="170" t="str">
        <f t="shared" si="6"/>
        <v/>
      </c>
      <c r="X10" s="259">
        <f t="shared" si="7"/>
        <v>0</v>
      </c>
      <c r="Y10" s="259">
        <f t="shared" si="7"/>
        <v>0</v>
      </c>
      <c r="Z10" s="259">
        <f t="shared" si="7"/>
        <v>0</v>
      </c>
      <c r="AA10" s="348">
        <f t="shared" si="8"/>
        <v>0</v>
      </c>
      <c r="AB10" s="274">
        <f t="shared" si="13"/>
        <v>0</v>
      </c>
      <c r="AC10" s="97"/>
      <c r="AD10" s="100"/>
    </row>
    <row r="11" spans="1:34" ht="16" thickBot="1">
      <c r="A11" s="27"/>
      <c r="B11" s="53">
        <f t="shared" si="9"/>
        <v>43380</v>
      </c>
      <c r="C11" s="41">
        <f>C3+6</f>
        <v>43380</v>
      </c>
      <c r="D11" s="54">
        <f t="shared" ca="1" si="1"/>
        <v>-242</v>
      </c>
      <c r="E11" s="117" t="str">
        <f>IF(B11=0,"","Sunday")</f>
        <v>Sunday</v>
      </c>
      <c r="F11" s="55"/>
      <c r="G11" s="56"/>
      <c r="H11" s="56"/>
      <c r="I11" s="200"/>
      <c r="J11" s="56"/>
      <c r="K11" s="205" t="str">
        <f t="shared" si="14"/>
        <v/>
      </c>
      <c r="L11" s="56"/>
      <c r="M11" s="56" t="str">
        <f t="shared" si="10"/>
        <v/>
      </c>
      <c r="N11" s="326"/>
      <c r="O11" s="259">
        <f t="shared" si="3"/>
        <v>6384.9973836424706</v>
      </c>
      <c r="P11" s="260">
        <f t="shared" si="0"/>
        <v>197929.98168549727</v>
      </c>
      <c r="Q11" s="169">
        <f t="shared" si="4"/>
        <v>122.98798884701669</v>
      </c>
      <c r="R11" s="169">
        <f t="shared" si="11"/>
        <v>0</v>
      </c>
      <c r="S11" s="368" t="str">
        <f t="shared" si="12"/>
        <v/>
      </c>
      <c r="T11" s="169"/>
      <c r="U11" s="169"/>
      <c r="V11" s="170" t="str">
        <f t="shared" si="5"/>
        <v/>
      </c>
      <c r="W11" s="170" t="str">
        <f t="shared" si="6"/>
        <v/>
      </c>
      <c r="X11" s="259">
        <f t="shared" si="7"/>
        <v>0</v>
      </c>
      <c r="Y11" s="259">
        <f t="shared" si="7"/>
        <v>0</v>
      </c>
      <c r="Z11" s="259">
        <f t="shared" si="7"/>
        <v>0</v>
      </c>
      <c r="AA11" s="348">
        <f t="shared" si="8"/>
        <v>0</v>
      </c>
      <c r="AB11" s="274">
        <f t="shared" si="13"/>
        <v>0</v>
      </c>
      <c r="AC11" s="97"/>
      <c r="AD11" s="100"/>
    </row>
    <row r="12" spans="1:34" ht="16" thickTop="1">
      <c r="A12" s="29"/>
      <c r="B12" s="16"/>
      <c r="C12" s="42"/>
      <c r="D12" s="60">
        <f ca="1">TODAY()-C12</f>
        <v>43138</v>
      </c>
      <c r="E12" s="113" t="s">
        <v>76</v>
      </c>
      <c r="F12" s="59">
        <f ca="1">G12*0.000568181818</f>
        <v>-1.2427401132386871E-58</v>
      </c>
      <c r="G12" s="19">
        <f ca="1">H12*1.0936113</f>
        <v>-2.1872226000000002E-55</v>
      </c>
      <c r="H12" s="129">
        <f ca="1">IF(TODAY()&gt;=B5,AA11*1000,-2E-55)</f>
        <v>-2E-55</v>
      </c>
      <c r="I12" s="135"/>
      <c r="J12" s="443" t="s">
        <v>121</v>
      </c>
      <c r="K12" s="444"/>
      <c r="L12" s="444"/>
      <c r="M12" s="444"/>
      <c r="N12" s="444"/>
      <c r="O12" s="259" t="str">
        <f t="shared" si="3"/>
        <v/>
      </c>
      <c r="P12" s="260"/>
      <c r="Q12" s="169">
        <f t="shared" si="4"/>
        <v>0</v>
      </c>
      <c r="R12" s="350"/>
      <c r="S12" s="368" t="str">
        <f t="shared" si="12"/>
        <v/>
      </c>
      <c r="T12" s="350"/>
      <c r="U12" s="350"/>
      <c r="V12" s="350"/>
      <c r="W12" s="350"/>
      <c r="X12" s="260"/>
      <c r="Y12" s="260"/>
      <c r="Z12" s="234"/>
      <c r="AA12" s="348">
        <f t="shared" si="8"/>
        <v>0</v>
      </c>
      <c r="AB12" s="274">
        <f t="shared" si="13"/>
        <v>0</v>
      </c>
      <c r="AC12" s="97"/>
      <c r="AD12" s="100"/>
    </row>
    <row r="13" spans="1:34" ht="16" thickBot="1">
      <c r="A13" s="28"/>
      <c r="B13" s="17"/>
      <c r="C13" s="39"/>
      <c r="D13" s="61">
        <f ca="1">TODAY()-C13</f>
        <v>43138</v>
      </c>
      <c r="E13" s="116" t="s">
        <v>33</v>
      </c>
      <c r="F13" s="62">
        <f>G13*0.0005681818</f>
        <v>27.772122420697102</v>
      </c>
      <c r="G13" s="63">
        <f>H13*1.0936113</f>
        <v>48878.937024552884</v>
      </c>
      <c r="H13" s="130">
        <f>SUM($O5:$O11)</f>
        <v>44694.981685497289</v>
      </c>
      <c r="I13" s="136"/>
      <c r="J13" s="445" t="str">
        <f>IF(R$2=1,"MILES &amp; mph",IF(R$2=2,"YARDS &amp; mph",IF(R$2=3,"METRES &amp; km/h","????")))</f>
        <v>MILES &amp; mph</v>
      </c>
      <c r="K13" s="446"/>
      <c r="L13" s="446"/>
      <c r="M13" s="446"/>
      <c r="N13" s="446"/>
      <c r="O13" s="259" t="str">
        <f t="shared" si="3"/>
        <v/>
      </c>
      <c r="P13" s="260"/>
      <c r="Q13" s="169">
        <f t="shared" si="4"/>
        <v>0</v>
      </c>
      <c r="R13" s="351"/>
      <c r="S13" s="368" t="str">
        <f t="shared" si="12"/>
        <v/>
      </c>
      <c r="T13" s="351"/>
      <c r="U13" s="351"/>
      <c r="V13" s="351"/>
      <c r="W13" s="351"/>
      <c r="X13" s="260"/>
      <c r="Y13" s="260"/>
      <c r="Z13" s="234"/>
      <c r="AA13" s="348">
        <f t="shared" si="8"/>
        <v>0</v>
      </c>
      <c r="AB13" s="274">
        <f t="shared" si="13"/>
        <v>0</v>
      </c>
      <c r="AC13" s="97"/>
      <c r="AD13" s="100"/>
    </row>
    <row r="14" spans="1:34" ht="16" thickTop="1">
      <c r="A14" s="1" t="s">
        <v>9</v>
      </c>
      <c r="B14" s="57">
        <f t="shared" ref="B14:B20" si="15">IF(B$2&gt;C14,0,C14)</f>
        <v>43381</v>
      </c>
      <c r="C14" s="40">
        <f>C11+1</f>
        <v>43381</v>
      </c>
      <c r="D14" s="22">
        <f t="shared" ca="1" si="1"/>
        <v>-243</v>
      </c>
      <c r="E14" s="118" t="s">
        <v>1</v>
      </c>
      <c r="F14" s="55"/>
      <c r="G14" s="56"/>
      <c r="H14" s="56"/>
      <c r="I14" s="136"/>
      <c r="J14" s="128"/>
      <c r="K14" s="203" t="str">
        <f t="shared" ref="K14" si="16">IF(R14=0,"",IF(L14="","",J14))</f>
        <v/>
      </c>
      <c r="L14" s="128"/>
      <c r="M14" s="56" t="str">
        <f>IF(R14=0,"",IF(J14="","",L14))</f>
        <v/>
      </c>
      <c r="N14" s="327"/>
      <c r="O14" s="259">
        <f t="shared" si="3"/>
        <v>6384.9973836424706</v>
      </c>
      <c r="P14" s="260">
        <f t="shared" ref="P14:P20" si="17">H$56</f>
        <v>197929.98168549727</v>
      </c>
      <c r="Q14" s="169">
        <f t="shared" si="4"/>
        <v>122.98798884701669</v>
      </c>
      <c r="R14" s="169">
        <f>IF(R$2=3,H14+G14/1.0936133+F14/0.0006213712,IF(R$2=2,H14*1.0936133+G14+F14/0.0005681818,IF(R$2=1,H14*0.0005681818*1.0936133+G14*0.0005681818+F14,"")))</f>
        <v>0</v>
      </c>
      <c r="S14" s="368" t="str">
        <f t="shared" si="12"/>
        <v/>
      </c>
      <c r="T14" s="169"/>
      <c r="U14" s="169"/>
      <c r="V14" s="170" t="str">
        <f t="shared" ref="V14:V20" si="18">IF(L14="","",IF(R14=0,"",IF(B14=0,"",IF($R$2=3,R14/L14*60/1000,IF($R$2=2,R14/L14*60/1760,IF($R$2=1,R14/L14*60,""))))))</f>
        <v/>
      </c>
      <c r="W14" s="170" t="str">
        <f t="shared" ref="W14:W20" si="19">IF(R14=0,"",IF(L14="","",V14*L14))</f>
        <v/>
      </c>
      <c r="X14" s="259">
        <f>F14+X11</f>
        <v>0</v>
      </c>
      <c r="Y14" s="259">
        <f>G14+Y11</f>
        <v>0</v>
      </c>
      <c r="Z14" s="259">
        <f>H14+Z11</f>
        <v>0</v>
      </c>
      <c r="AA14" s="348">
        <f t="shared" si="8"/>
        <v>0</v>
      </c>
      <c r="AB14" s="274">
        <f t="shared" si="13"/>
        <v>0</v>
      </c>
      <c r="AC14" s="97"/>
      <c r="AD14" s="100"/>
    </row>
    <row r="15" spans="1:34">
      <c r="A15" s="1"/>
      <c r="B15" s="5">
        <f t="shared" si="15"/>
        <v>43382</v>
      </c>
      <c r="C15" s="38">
        <f t="shared" ref="C15:C20" si="20">C14+1</f>
        <v>43382</v>
      </c>
      <c r="D15" s="7">
        <f t="shared" ca="1" si="1"/>
        <v>-244</v>
      </c>
      <c r="E15" s="114" t="s">
        <v>2</v>
      </c>
      <c r="F15" s="55"/>
      <c r="G15" s="56"/>
      <c r="H15" s="56"/>
      <c r="I15" s="200"/>
      <c r="J15" s="56"/>
      <c r="K15" s="204" t="str">
        <f>IF(R15=0,"",IF(L15="","",J15))</f>
        <v/>
      </c>
      <c r="L15" s="56"/>
      <c r="M15" s="56" t="str">
        <f t="shared" ref="M15:M20" si="21">IF(R15=0,"",IF(J15="","",L15))</f>
        <v/>
      </c>
      <c r="N15" s="324"/>
      <c r="O15" s="259">
        <f t="shared" si="3"/>
        <v>6384.9973836424706</v>
      </c>
      <c r="P15" s="260">
        <f t="shared" si="17"/>
        <v>197929.98168549727</v>
      </c>
      <c r="Q15" s="169">
        <f t="shared" si="4"/>
        <v>122.98798884701669</v>
      </c>
      <c r="R15" s="169">
        <f t="shared" ref="R15:R20" si="22">IF(R$2=3,H15+G15/1.0936133+F15/0.0006213712,IF(R$2=2,H15*1.0936133+G15+F15/0.0005681818,IF(R$2=1,H15*0.0005681818*1.0936133+G15*0.0005681818+F15,"")))</f>
        <v>0</v>
      </c>
      <c r="S15" s="368" t="str">
        <f t="shared" si="12"/>
        <v/>
      </c>
      <c r="T15" s="169"/>
      <c r="U15" s="169"/>
      <c r="V15" s="170" t="str">
        <f t="shared" si="18"/>
        <v/>
      </c>
      <c r="W15" s="170" t="str">
        <f t="shared" si="19"/>
        <v/>
      </c>
      <c r="X15" s="259">
        <f t="shared" ref="X15:Z20" si="23">F15+X14</f>
        <v>0</v>
      </c>
      <c r="Y15" s="259">
        <f t="shared" si="23"/>
        <v>0</v>
      </c>
      <c r="Z15" s="259">
        <f t="shared" si="23"/>
        <v>0</v>
      </c>
      <c r="AA15" s="348">
        <f t="shared" si="8"/>
        <v>0</v>
      </c>
      <c r="AB15" s="274">
        <f t="shared" si="13"/>
        <v>0</v>
      </c>
      <c r="AC15" s="97"/>
      <c r="AD15" s="100"/>
    </row>
    <row r="16" spans="1:34">
      <c r="A16" s="1"/>
      <c r="B16" s="5">
        <f t="shared" si="15"/>
        <v>43383</v>
      </c>
      <c r="C16" s="38">
        <f t="shared" si="20"/>
        <v>43383</v>
      </c>
      <c r="D16" s="7">
        <f t="shared" ca="1" si="1"/>
        <v>-245</v>
      </c>
      <c r="E16" s="114" t="s">
        <v>3</v>
      </c>
      <c r="F16" s="55"/>
      <c r="G16" s="56"/>
      <c r="H16" s="56"/>
      <c r="I16" s="200"/>
      <c r="J16" s="56"/>
      <c r="K16" s="204" t="str">
        <f t="shared" ref="K16:K20" si="24">IF(R16=0,"",IF(L16="","",J16))</f>
        <v/>
      </c>
      <c r="L16" s="56"/>
      <c r="M16" s="56" t="str">
        <f t="shared" si="21"/>
        <v/>
      </c>
      <c r="N16" s="324"/>
      <c r="O16" s="259">
        <f t="shared" si="3"/>
        <v>6384.9973836424706</v>
      </c>
      <c r="P16" s="260">
        <f t="shared" si="17"/>
        <v>197929.98168549727</v>
      </c>
      <c r="Q16" s="169">
        <f t="shared" si="4"/>
        <v>122.98798884701669</v>
      </c>
      <c r="R16" s="169">
        <f t="shared" si="22"/>
        <v>0</v>
      </c>
      <c r="S16" s="368" t="str">
        <f t="shared" si="12"/>
        <v/>
      </c>
      <c r="T16" s="169"/>
      <c r="U16" s="169"/>
      <c r="V16" s="170" t="str">
        <f t="shared" si="18"/>
        <v/>
      </c>
      <c r="W16" s="170" t="str">
        <f t="shared" si="19"/>
        <v/>
      </c>
      <c r="X16" s="259">
        <f t="shared" si="23"/>
        <v>0</v>
      </c>
      <c r="Y16" s="259">
        <f t="shared" si="23"/>
        <v>0</v>
      </c>
      <c r="Z16" s="259">
        <f t="shared" si="23"/>
        <v>0</v>
      </c>
      <c r="AA16" s="348">
        <f t="shared" si="8"/>
        <v>0</v>
      </c>
      <c r="AB16" s="274">
        <f t="shared" si="13"/>
        <v>0</v>
      </c>
      <c r="AC16" s="97"/>
      <c r="AD16" s="100"/>
    </row>
    <row r="17" spans="1:30">
      <c r="A17" s="1"/>
      <c r="B17" s="5">
        <f t="shared" si="15"/>
        <v>43384</v>
      </c>
      <c r="C17" s="38">
        <f t="shared" si="20"/>
        <v>43384</v>
      </c>
      <c r="D17" s="7">
        <f t="shared" ca="1" si="1"/>
        <v>-246</v>
      </c>
      <c r="E17" s="114" t="s">
        <v>4</v>
      </c>
      <c r="F17" s="55"/>
      <c r="G17" s="56"/>
      <c r="H17" s="56"/>
      <c r="I17" s="200"/>
      <c r="J17" s="56"/>
      <c r="K17" s="204" t="str">
        <f t="shared" si="24"/>
        <v/>
      </c>
      <c r="L17" s="56"/>
      <c r="M17" s="56" t="str">
        <f t="shared" si="21"/>
        <v/>
      </c>
      <c r="N17" s="324"/>
      <c r="O17" s="259">
        <f t="shared" si="3"/>
        <v>6384.9973836424706</v>
      </c>
      <c r="P17" s="260">
        <f t="shared" si="17"/>
        <v>197929.98168549727</v>
      </c>
      <c r="Q17" s="169">
        <f t="shared" si="4"/>
        <v>122.98798884701669</v>
      </c>
      <c r="R17" s="169">
        <f t="shared" si="22"/>
        <v>0</v>
      </c>
      <c r="S17" s="368" t="str">
        <f t="shared" si="12"/>
        <v/>
      </c>
      <c r="T17" s="169"/>
      <c r="U17" s="169"/>
      <c r="V17" s="170" t="str">
        <f t="shared" si="18"/>
        <v/>
      </c>
      <c r="W17" s="170" t="str">
        <f t="shared" si="19"/>
        <v/>
      </c>
      <c r="X17" s="259">
        <f t="shared" si="23"/>
        <v>0</v>
      </c>
      <c r="Y17" s="259">
        <f t="shared" si="23"/>
        <v>0</v>
      </c>
      <c r="Z17" s="259">
        <f t="shared" si="23"/>
        <v>0</v>
      </c>
      <c r="AA17" s="348">
        <f t="shared" si="8"/>
        <v>0</v>
      </c>
      <c r="AB17" s="274">
        <f t="shared" si="13"/>
        <v>0</v>
      </c>
      <c r="AC17" s="97"/>
      <c r="AD17" s="100"/>
    </row>
    <row r="18" spans="1:30">
      <c r="A18" s="1"/>
      <c r="B18" s="5">
        <f t="shared" si="15"/>
        <v>43385</v>
      </c>
      <c r="C18" s="38">
        <f t="shared" si="20"/>
        <v>43385</v>
      </c>
      <c r="D18" s="7">
        <f t="shared" ca="1" si="1"/>
        <v>-247</v>
      </c>
      <c r="E18" s="114" t="s">
        <v>5</v>
      </c>
      <c r="F18" s="55"/>
      <c r="G18" s="56"/>
      <c r="H18" s="56"/>
      <c r="I18" s="200"/>
      <c r="J18" s="56"/>
      <c r="K18" s="204" t="str">
        <f t="shared" si="24"/>
        <v/>
      </c>
      <c r="L18" s="56"/>
      <c r="M18" s="56" t="str">
        <f t="shared" si="21"/>
        <v/>
      </c>
      <c r="N18" s="324"/>
      <c r="O18" s="259">
        <f t="shared" si="3"/>
        <v>6384.9973836424706</v>
      </c>
      <c r="P18" s="260">
        <f t="shared" si="17"/>
        <v>197929.98168549727</v>
      </c>
      <c r="Q18" s="169">
        <f t="shared" si="4"/>
        <v>122.98798884701669</v>
      </c>
      <c r="R18" s="169">
        <f t="shared" si="22"/>
        <v>0</v>
      </c>
      <c r="S18" s="368" t="str">
        <f t="shared" si="12"/>
        <v/>
      </c>
      <c r="T18" s="169"/>
      <c r="U18" s="169"/>
      <c r="V18" s="170" t="str">
        <f t="shared" si="18"/>
        <v/>
      </c>
      <c r="W18" s="170" t="str">
        <f t="shared" si="19"/>
        <v/>
      </c>
      <c r="X18" s="259">
        <f t="shared" si="23"/>
        <v>0</v>
      </c>
      <c r="Y18" s="259">
        <f t="shared" si="23"/>
        <v>0</v>
      </c>
      <c r="Z18" s="259">
        <f t="shared" si="23"/>
        <v>0</v>
      </c>
      <c r="AA18" s="348">
        <f t="shared" si="8"/>
        <v>0</v>
      </c>
      <c r="AB18" s="274">
        <f t="shared" si="13"/>
        <v>0</v>
      </c>
      <c r="AC18" s="97"/>
      <c r="AD18" s="100"/>
    </row>
    <row r="19" spans="1:30">
      <c r="A19" s="1"/>
      <c r="B19" s="5">
        <f t="shared" si="15"/>
        <v>43386</v>
      </c>
      <c r="C19" s="38">
        <f t="shared" si="20"/>
        <v>43386</v>
      </c>
      <c r="D19" s="7">
        <f t="shared" ca="1" si="1"/>
        <v>-248</v>
      </c>
      <c r="E19" s="114" t="s">
        <v>6</v>
      </c>
      <c r="F19" s="55"/>
      <c r="G19" s="56"/>
      <c r="H19" s="56"/>
      <c r="I19" s="200"/>
      <c r="J19" s="56"/>
      <c r="K19" s="204" t="str">
        <f t="shared" si="24"/>
        <v/>
      </c>
      <c r="L19" s="56"/>
      <c r="M19" s="56" t="str">
        <f t="shared" si="21"/>
        <v/>
      </c>
      <c r="N19" s="324"/>
      <c r="O19" s="259">
        <f t="shared" si="3"/>
        <v>6384.9973836424706</v>
      </c>
      <c r="P19" s="260">
        <f t="shared" si="17"/>
        <v>197929.98168549727</v>
      </c>
      <c r="Q19" s="169">
        <f t="shared" si="4"/>
        <v>122.98798884701669</v>
      </c>
      <c r="R19" s="169">
        <f t="shared" si="22"/>
        <v>0</v>
      </c>
      <c r="S19" s="368" t="str">
        <f t="shared" si="12"/>
        <v/>
      </c>
      <c r="T19" s="169"/>
      <c r="U19" s="169"/>
      <c r="V19" s="170" t="str">
        <f t="shared" si="18"/>
        <v/>
      </c>
      <c r="W19" s="170" t="str">
        <f t="shared" si="19"/>
        <v/>
      </c>
      <c r="X19" s="259">
        <f t="shared" si="23"/>
        <v>0</v>
      </c>
      <c r="Y19" s="259">
        <f t="shared" si="23"/>
        <v>0</v>
      </c>
      <c r="Z19" s="259">
        <f t="shared" si="23"/>
        <v>0</v>
      </c>
      <c r="AA19" s="348">
        <f t="shared" si="8"/>
        <v>0</v>
      </c>
      <c r="AB19" s="274">
        <f t="shared" si="13"/>
        <v>0</v>
      </c>
      <c r="AC19" s="97"/>
      <c r="AD19" s="100"/>
    </row>
    <row r="20" spans="1:30" ht="16" thickBot="1">
      <c r="A20" s="1"/>
      <c r="B20" s="53">
        <f t="shared" si="15"/>
        <v>43387</v>
      </c>
      <c r="C20" s="41">
        <f t="shared" si="20"/>
        <v>43387</v>
      </c>
      <c r="D20" s="54">
        <f t="shared" ca="1" si="1"/>
        <v>-249</v>
      </c>
      <c r="E20" s="117" t="s">
        <v>7</v>
      </c>
      <c r="F20" s="55"/>
      <c r="G20" s="56"/>
      <c r="H20" s="56"/>
      <c r="I20" s="200"/>
      <c r="J20" s="56"/>
      <c r="K20" s="205" t="str">
        <f t="shared" si="24"/>
        <v/>
      </c>
      <c r="L20" s="56"/>
      <c r="M20" s="56" t="str">
        <f t="shared" si="21"/>
        <v/>
      </c>
      <c r="N20" s="329"/>
      <c r="O20" s="259">
        <f t="shared" si="3"/>
        <v>6384.9973836424706</v>
      </c>
      <c r="P20" s="260">
        <f t="shared" si="17"/>
        <v>197929.98168549727</v>
      </c>
      <c r="Q20" s="169">
        <f t="shared" si="4"/>
        <v>122.98798884701669</v>
      </c>
      <c r="R20" s="169">
        <f t="shared" si="22"/>
        <v>0</v>
      </c>
      <c r="S20" s="368" t="str">
        <f t="shared" si="12"/>
        <v/>
      </c>
      <c r="T20" s="169"/>
      <c r="U20" s="169"/>
      <c r="V20" s="170" t="str">
        <f t="shared" si="18"/>
        <v/>
      </c>
      <c r="W20" s="170" t="str">
        <f t="shared" si="19"/>
        <v/>
      </c>
      <c r="X20" s="259">
        <f t="shared" si="23"/>
        <v>0</v>
      </c>
      <c r="Y20" s="259">
        <f t="shared" si="23"/>
        <v>0</v>
      </c>
      <c r="Z20" s="259">
        <f t="shared" si="23"/>
        <v>0</v>
      </c>
      <c r="AA20" s="348">
        <f t="shared" si="8"/>
        <v>0</v>
      </c>
      <c r="AB20" s="274">
        <f t="shared" si="13"/>
        <v>0</v>
      </c>
      <c r="AC20" s="97"/>
      <c r="AD20" s="100"/>
    </row>
    <row r="21" spans="1:30" ht="16" thickTop="1">
      <c r="A21" s="29"/>
      <c r="B21" s="16"/>
      <c r="C21" s="42"/>
      <c r="D21" s="60">
        <f ca="1">TODAY()-C21</f>
        <v>43138</v>
      </c>
      <c r="E21" s="113" t="s">
        <v>76</v>
      </c>
      <c r="F21" s="59">
        <f ca="1">G21*0.000568181818</f>
        <v>-1.2427401132386871E-58</v>
      </c>
      <c r="G21" s="19">
        <f ca="1">H21*1.0936113</f>
        <v>-2.1872226000000002E-55</v>
      </c>
      <c r="H21" s="129">
        <f ca="1">IF(TODAY()&gt;=B14,(AA20-AA11)*1000,-2E-55)</f>
        <v>-2E-55</v>
      </c>
      <c r="I21" s="152"/>
      <c r="J21" s="447" t="str">
        <f>IF(R21=0,"",#REF!)</f>
        <v/>
      </c>
      <c r="K21" s="448"/>
      <c r="L21" s="448"/>
      <c r="M21" s="448"/>
      <c r="N21" s="448"/>
      <c r="O21" s="259" t="str">
        <f t="shared" si="3"/>
        <v/>
      </c>
      <c r="P21" s="260"/>
      <c r="Q21" s="169">
        <f t="shared" si="4"/>
        <v>0</v>
      </c>
      <c r="R21" s="350"/>
      <c r="S21" s="368" t="str">
        <f t="shared" si="12"/>
        <v/>
      </c>
      <c r="T21" s="350"/>
      <c r="U21" s="350"/>
      <c r="V21" s="350"/>
      <c r="W21" s="350"/>
      <c r="X21" s="234"/>
      <c r="Y21" s="234"/>
      <c r="Z21" s="234"/>
      <c r="AA21" s="348">
        <f t="shared" si="8"/>
        <v>0</v>
      </c>
      <c r="AB21" s="274">
        <f t="shared" si="13"/>
        <v>0</v>
      </c>
      <c r="AC21" s="97"/>
      <c r="AD21" s="100"/>
    </row>
    <row r="22" spans="1:30" ht="16" thickBot="1">
      <c r="A22" s="28"/>
      <c r="B22" s="17"/>
      <c r="C22" s="39"/>
      <c r="D22" s="61">
        <f ca="1">TODAY()-C22</f>
        <v>43138</v>
      </c>
      <c r="E22" s="116" t="s">
        <v>33</v>
      </c>
      <c r="F22" s="62">
        <f>G22*0.0005681818</f>
        <v>27.771512430743396</v>
      </c>
      <c r="G22" s="63">
        <f>H22*1.0936113</f>
        <v>48877.863442200003</v>
      </c>
      <c r="H22" s="131">
        <f>INT(SUM($O14:$O20))</f>
        <v>44694</v>
      </c>
      <c r="I22" s="153"/>
      <c r="J22" s="449"/>
      <c r="K22" s="450"/>
      <c r="L22" s="451"/>
      <c r="M22" s="451"/>
      <c r="N22" s="451"/>
      <c r="O22" s="259" t="str">
        <f t="shared" si="3"/>
        <v/>
      </c>
      <c r="P22" s="260"/>
      <c r="Q22" s="169">
        <f t="shared" si="4"/>
        <v>0</v>
      </c>
      <c r="R22" s="351"/>
      <c r="S22" s="368" t="str">
        <f t="shared" si="12"/>
        <v/>
      </c>
      <c r="T22" s="351"/>
      <c r="U22" s="351"/>
      <c r="V22" s="351"/>
      <c r="W22" s="351"/>
      <c r="X22" s="234"/>
      <c r="Y22" s="234"/>
      <c r="Z22" s="234"/>
      <c r="AA22" s="348">
        <f t="shared" si="8"/>
        <v>0</v>
      </c>
      <c r="AB22" s="274">
        <f t="shared" si="13"/>
        <v>0</v>
      </c>
      <c r="AC22" s="97"/>
      <c r="AD22" s="100"/>
    </row>
    <row r="23" spans="1:30" ht="16" thickTop="1">
      <c r="A23" s="1" t="s">
        <v>10</v>
      </c>
      <c r="B23" s="57">
        <f t="shared" ref="B23:B29" si="25">IF(B$2&gt;C23,0,C23)</f>
        <v>43388</v>
      </c>
      <c r="C23" s="40">
        <f>C20+1</f>
        <v>43388</v>
      </c>
      <c r="D23" s="22">
        <f t="shared" ca="1" si="1"/>
        <v>-250</v>
      </c>
      <c r="E23" s="118" t="s">
        <v>1</v>
      </c>
      <c r="F23" s="55"/>
      <c r="G23" s="56"/>
      <c r="H23" s="56"/>
      <c r="I23" s="200"/>
      <c r="J23" s="128"/>
      <c r="K23" s="287" t="str">
        <f t="shared" ref="K23" si="26">IF(R23=0,"",IF(L23="","",J23))</f>
        <v/>
      </c>
      <c r="L23" s="128"/>
      <c r="M23" s="56" t="str">
        <f>IF(R23=0,"",IF(J23="","",L23))</f>
        <v/>
      </c>
      <c r="N23" s="330"/>
      <c r="O23" s="259">
        <f t="shared" si="3"/>
        <v>6384.9973836424706</v>
      </c>
      <c r="P23" s="260">
        <f t="shared" ref="P23:P29" si="27">H$56</f>
        <v>197929.98168549727</v>
      </c>
      <c r="Q23" s="169">
        <f t="shared" si="4"/>
        <v>122.98798884701669</v>
      </c>
      <c r="R23" s="169">
        <f>IF(R$2=3,H23+G23/1.0936133+F23/0.0006213712,IF(R$2=2,H23*1.0936133+G23+F23/0.0005681818,IF(R$2=1,H23*0.0005681818*1.0936133+G23*0.0005681818+F23,"")))</f>
        <v>0</v>
      </c>
      <c r="S23" s="368" t="str">
        <f t="shared" si="12"/>
        <v/>
      </c>
      <c r="T23" s="169"/>
      <c r="U23" s="169"/>
      <c r="V23" s="170" t="str">
        <f t="shared" ref="V23:V29" si="28">IF(L23="","",IF(R23=0,"",IF(B23=0,"",IF($R$2=3,R23/L23*60/1000,IF($R$2=2,R23/L23*60/1760,IF($R$2=1,R23/L23*60,""))))))</f>
        <v/>
      </c>
      <c r="W23" s="170" t="str">
        <f t="shared" ref="W23:W29" si="29">IF(R23=0,"",IF(L23="","",V23*L23))</f>
        <v/>
      </c>
      <c r="X23" s="259">
        <f>F23+X20</f>
        <v>0</v>
      </c>
      <c r="Y23" s="259">
        <f>G23+Y20</f>
        <v>0</v>
      </c>
      <c r="Z23" s="259">
        <f>H23+Z20</f>
        <v>0</v>
      </c>
      <c r="AA23" s="348">
        <f t="shared" si="8"/>
        <v>0</v>
      </c>
      <c r="AB23" s="274">
        <f t="shared" si="13"/>
        <v>0</v>
      </c>
      <c r="AC23" s="97"/>
      <c r="AD23" s="100"/>
    </row>
    <row r="24" spans="1:30">
      <c r="A24" s="1"/>
      <c r="B24" s="5">
        <f t="shared" si="25"/>
        <v>43389</v>
      </c>
      <c r="C24" s="38">
        <f t="shared" ref="C24:C29" si="30">C23+1</f>
        <v>43389</v>
      </c>
      <c r="D24" s="7">
        <f t="shared" ca="1" si="1"/>
        <v>-251</v>
      </c>
      <c r="E24" s="114" t="s">
        <v>2</v>
      </c>
      <c r="F24" s="55"/>
      <c r="G24" s="56"/>
      <c r="H24" s="56"/>
      <c r="I24" s="200"/>
      <c r="J24" s="56"/>
      <c r="K24" s="204" t="str">
        <f>IF(R24=0,"",IF(L24="","",J24))</f>
        <v/>
      </c>
      <c r="L24" s="56"/>
      <c r="M24" s="56" t="str">
        <f t="shared" ref="M24:M29" si="31">IF(R24=0,"",IF(J24="","",L24))</f>
        <v/>
      </c>
      <c r="N24" s="324"/>
      <c r="O24" s="259">
        <f t="shared" si="3"/>
        <v>6384.9973836424706</v>
      </c>
      <c r="P24" s="260">
        <f t="shared" si="27"/>
        <v>197929.98168549727</v>
      </c>
      <c r="Q24" s="169">
        <f t="shared" si="4"/>
        <v>122.98798884701669</v>
      </c>
      <c r="R24" s="169">
        <f t="shared" ref="R24:R29" si="32">IF(R$2=3,H24+G24/1.0936133+F24/0.0006213712,IF(R$2=2,H24*1.0936133+G24+F24/0.0005681818,IF(R$2=1,H24*0.0005681818*1.0936133+G24*0.0005681818+F24,"")))</f>
        <v>0</v>
      </c>
      <c r="S24" s="368" t="str">
        <f t="shared" si="12"/>
        <v/>
      </c>
      <c r="T24" s="169"/>
      <c r="U24" s="169"/>
      <c r="V24" s="170" t="str">
        <f t="shared" si="28"/>
        <v/>
      </c>
      <c r="W24" s="170" t="str">
        <f t="shared" si="29"/>
        <v/>
      </c>
      <c r="X24" s="259">
        <f t="shared" ref="X24:Z29" si="33">F24+X23</f>
        <v>0</v>
      </c>
      <c r="Y24" s="259">
        <f t="shared" si="33"/>
        <v>0</v>
      </c>
      <c r="Z24" s="259">
        <f t="shared" si="33"/>
        <v>0</v>
      </c>
      <c r="AA24" s="348">
        <f t="shared" si="8"/>
        <v>0</v>
      </c>
      <c r="AB24" s="274">
        <f t="shared" si="13"/>
        <v>0</v>
      </c>
      <c r="AC24" s="97"/>
      <c r="AD24" s="100"/>
    </row>
    <row r="25" spans="1:30">
      <c r="A25" s="1"/>
      <c r="B25" s="5">
        <f t="shared" si="25"/>
        <v>43390</v>
      </c>
      <c r="C25" s="38">
        <f t="shared" si="30"/>
        <v>43390</v>
      </c>
      <c r="D25" s="7">
        <f t="shared" ca="1" si="1"/>
        <v>-252</v>
      </c>
      <c r="E25" s="114" t="s">
        <v>3</v>
      </c>
      <c r="F25" s="55"/>
      <c r="G25" s="56"/>
      <c r="H25" s="56"/>
      <c r="I25" s="200"/>
      <c r="J25" s="56"/>
      <c r="K25" s="204" t="str">
        <f t="shared" ref="K25:K29" si="34">IF(R25=0,"",IF(L25="","",J25))</f>
        <v/>
      </c>
      <c r="L25" s="56"/>
      <c r="M25" s="56" t="str">
        <f t="shared" si="31"/>
        <v/>
      </c>
      <c r="N25" s="324"/>
      <c r="O25" s="259">
        <f t="shared" si="3"/>
        <v>6384.9973836424706</v>
      </c>
      <c r="P25" s="260">
        <f t="shared" si="27"/>
        <v>197929.98168549727</v>
      </c>
      <c r="Q25" s="169">
        <f t="shared" si="4"/>
        <v>122.98798884701669</v>
      </c>
      <c r="R25" s="169">
        <f t="shared" si="32"/>
        <v>0</v>
      </c>
      <c r="S25" s="368" t="str">
        <f t="shared" si="12"/>
        <v/>
      </c>
      <c r="T25" s="169"/>
      <c r="U25" s="169"/>
      <c r="V25" s="170" t="str">
        <f t="shared" si="28"/>
        <v/>
      </c>
      <c r="W25" s="170" t="str">
        <f t="shared" si="29"/>
        <v/>
      </c>
      <c r="X25" s="259">
        <f t="shared" si="33"/>
        <v>0</v>
      </c>
      <c r="Y25" s="259">
        <f t="shared" si="33"/>
        <v>0</v>
      </c>
      <c r="Z25" s="259">
        <f t="shared" si="33"/>
        <v>0</v>
      </c>
      <c r="AA25" s="348">
        <f t="shared" si="8"/>
        <v>0</v>
      </c>
      <c r="AB25" s="274">
        <f t="shared" si="13"/>
        <v>0</v>
      </c>
      <c r="AC25" s="97"/>
      <c r="AD25" s="100"/>
    </row>
    <row r="26" spans="1:30">
      <c r="A26" s="1"/>
      <c r="B26" s="5">
        <f t="shared" si="25"/>
        <v>43391</v>
      </c>
      <c r="C26" s="38">
        <f t="shared" si="30"/>
        <v>43391</v>
      </c>
      <c r="D26" s="7">
        <f t="shared" ca="1" si="1"/>
        <v>-253</v>
      </c>
      <c r="E26" s="114" t="s">
        <v>4</v>
      </c>
      <c r="F26" s="55"/>
      <c r="G26" s="56"/>
      <c r="H26" s="56"/>
      <c r="I26" s="200"/>
      <c r="J26" s="56"/>
      <c r="K26" s="204" t="str">
        <f t="shared" si="34"/>
        <v/>
      </c>
      <c r="L26" s="56"/>
      <c r="M26" s="56" t="str">
        <f t="shared" si="31"/>
        <v/>
      </c>
      <c r="N26" s="324"/>
      <c r="O26" s="259">
        <f t="shared" si="3"/>
        <v>6384.9973836424706</v>
      </c>
      <c r="P26" s="260">
        <f t="shared" si="27"/>
        <v>197929.98168549727</v>
      </c>
      <c r="Q26" s="169">
        <f t="shared" si="4"/>
        <v>122.98798884701669</v>
      </c>
      <c r="R26" s="169">
        <f t="shared" si="32"/>
        <v>0</v>
      </c>
      <c r="S26" s="368" t="str">
        <f t="shared" si="12"/>
        <v/>
      </c>
      <c r="T26" s="169"/>
      <c r="U26" s="169"/>
      <c r="V26" s="170" t="str">
        <f t="shared" si="28"/>
        <v/>
      </c>
      <c r="W26" s="170" t="str">
        <f t="shared" si="29"/>
        <v/>
      </c>
      <c r="X26" s="259">
        <f t="shared" si="33"/>
        <v>0</v>
      </c>
      <c r="Y26" s="259">
        <f t="shared" si="33"/>
        <v>0</v>
      </c>
      <c r="Z26" s="259">
        <f t="shared" si="33"/>
        <v>0</v>
      </c>
      <c r="AA26" s="348">
        <f t="shared" si="8"/>
        <v>0</v>
      </c>
      <c r="AB26" s="274">
        <f t="shared" si="13"/>
        <v>0</v>
      </c>
      <c r="AC26" s="97"/>
      <c r="AD26" s="100"/>
    </row>
    <row r="27" spans="1:30">
      <c r="A27" s="1"/>
      <c r="B27" s="5">
        <f t="shared" si="25"/>
        <v>43392</v>
      </c>
      <c r="C27" s="38">
        <f t="shared" si="30"/>
        <v>43392</v>
      </c>
      <c r="D27" s="7">
        <f t="shared" ca="1" si="1"/>
        <v>-254</v>
      </c>
      <c r="E27" s="114" t="s">
        <v>5</v>
      </c>
      <c r="F27" s="55"/>
      <c r="G27" s="56"/>
      <c r="H27" s="56"/>
      <c r="I27" s="200"/>
      <c r="J27" s="56"/>
      <c r="K27" s="204" t="str">
        <f t="shared" si="34"/>
        <v/>
      </c>
      <c r="L27" s="56"/>
      <c r="M27" s="56" t="str">
        <f t="shared" si="31"/>
        <v/>
      </c>
      <c r="N27" s="324"/>
      <c r="O27" s="259">
        <f t="shared" si="3"/>
        <v>6384.9973836424706</v>
      </c>
      <c r="P27" s="260">
        <f t="shared" si="27"/>
        <v>197929.98168549727</v>
      </c>
      <c r="Q27" s="169">
        <f t="shared" si="4"/>
        <v>122.98798884701669</v>
      </c>
      <c r="R27" s="169">
        <f t="shared" si="32"/>
        <v>0</v>
      </c>
      <c r="S27" s="368" t="str">
        <f t="shared" si="12"/>
        <v/>
      </c>
      <c r="T27" s="169"/>
      <c r="U27" s="169"/>
      <c r="V27" s="170" t="str">
        <f t="shared" si="28"/>
        <v/>
      </c>
      <c r="W27" s="170" t="str">
        <f t="shared" si="29"/>
        <v/>
      </c>
      <c r="X27" s="259">
        <f t="shared" si="33"/>
        <v>0</v>
      </c>
      <c r="Y27" s="259">
        <f t="shared" si="33"/>
        <v>0</v>
      </c>
      <c r="Z27" s="259">
        <f t="shared" si="33"/>
        <v>0</v>
      </c>
      <c r="AA27" s="348">
        <f t="shared" si="8"/>
        <v>0</v>
      </c>
      <c r="AB27" s="274">
        <f t="shared" si="13"/>
        <v>0</v>
      </c>
      <c r="AC27" s="97"/>
      <c r="AD27" s="100"/>
    </row>
    <row r="28" spans="1:30">
      <c r="A28" s="1"/>
      <c r="B28" s="5">
        <f t="shared" si="25"/>
        <v>43393</v>
      </c>
      <c r="C28" s="38">
        <f t="shared" si="30"/>
        <v>43393</v>
      </c>
      <c r="D28" s="7">
        <f t="shared" ca="1" si="1"/>
        <v>-255</v>
      </c>
      <c r="E28" s="114" t="s">
        <v>6</v>
      </c>
      <c r="F28" s="55"/>
      <c r="G28" s="56"/>
      <c r="H28" s="56"/>
      <c r="I28" s="200"/>
      <c r="J28" s="56"/>
      <c r="K28" s="204" t="str">
        <f t="shared" si="34"/>
        <v/>
      </c>
      <c r="L28" s="56"/>
      <c r="M28" s="56" t="str">
        <f t="shared" si="31"/>
        <v/>
      </c>
      <c r="N28" s="324"/>
      <c r="O28" s="259">
        <f t="shared" si="3"/>
        <v>6384.9973836424706</v>
      </c>
      <c r="P28" s="260">
        <f t="shared" si="27"/>
        <v>197929.98168549727</v>
      </c>
      <c r="Q28" s="169">
        <f t="shared" si="4"/>
        <v>122.98798884701669</v>
      </c>
      <c r="R28" s="169">
        <f t="shared" si="32"/>
        <v>0</v>
      </c>
      <c r="S28" s="368" t="str">
        <f t="shared" si="12"/>
        <v/>
      </c>
      <c r="T28" s="169"/>
      <c r="U28" s="169"/>
      <c r="V28" s="170" t="str">
        <f t="shared" si="28"/>
        <v/>
      </c>
      <c r="W28" s="170" t="str">
        <f t="shared" si="29"/>
        <v/>
      </c>
      <c r="X28" s="259">
        <f t="shared" si="33"/>
        <v>0</v>
      </c>
      <c r="Y28" s="259">
        <f t="shared" si="33"/>
        <v>0</v>
      </c>
      <c r="Z28" s="259">
        <f t="shared" si="33"/>
        <v>0</v>
      </c>
      <c r="AA28" s="348">
        <f t="shared" si="8"/>
        <v>0</v>
      </c>
      <c r="AB28" s="274">
        <f t="shared" si="13"/>
        <v>0</v>
      </c>
      <c r="AC28" s="97"/>
      <c r="AD28" s="100"/>
    </row>
    <row r="29" spans="1:30" ht="16" thickBot="1">
      <c r="A29" s="1"/>
      <c r="B29" s="53">
        <f t="shared" si="25"/>
        <v>43394</v>
      </c>
      <c r="C29" s="41">
        <f t="shared" si="30"/>
        <v>43394</v>
      </c>
      <c r="D29" s="54">
        <f t="shared" ca="1" si="1"/>
        <v>-256</v>
      </c>
      <c r="E29" s="117" t="s">
        <v>7</v>
      </c>
      <c r="F29" s="55"/>
      <c r="G29" s="56"/>
      <c r="H29" s="56"/>
      <c r="I29" s="200"/>
      <c r="J29" s="56"/>
      <c r="K29" s="205" t="str">
        <f t="shared" si="34"/>
        <v/>
      </c>
      <c r="L29" s="56"/>
      <c r="M29" s="56" t="str">
        <f t="shared" si="31"/>
        <v/>
      </c>
      <c r="N29" s="329"/>
      <c r="O29" s="259">
        <f t="shared" si="3"/>
        <v>6384.9973836424706</v>
      </c>
      <c r="P29" s="260">
        <f t="shared" si="27"/>
        <v>197929.98168549727</v>
      </c>
      <c r="Q29" s="169">
        <f t="shared" si="4"/>
        <v>122.98798884701669</v>
      </c>
      <c r="R29" s="169">
        <f t="shared" si="32"/>
        <v>0</v>
      </c>
      <c r="S29" s="368" t="str">
        <f t="shared" si="12"/>
        <v/>
      </c>
      <c r="T29" s="169"/>
      <c r="U29" s="169"/>
      <c r="V29" s="170" t="str">
        <f t="shared" si="28"/>
        <v/>
      </c>
      <c r="W29" s="170" t="str">
        <f t="shared" si="29"/>
        <v/>
      </c>
      <c r="X29" s="259">
        <f t="shared" si="33"/>
        <v>0</v>
      </c>
      <c r="Y29" s="259">
        <f t="shared" si="33"/>
        <v>0</v>
      </c>
      <c r="Z29" s="259">
        <f t="shared" si="33"/>
        <v>0</v>
      </c>
      <c r="AA29" s="348">
        <f t="shared" si="8"/>
        <v>0</v>
      </c>
      <c r="AB29" s="274">
        <f t="shared" si="13"/>
        <v>0</v>
      </c>
      <c r="AC29" s="97"/>
      <c r="AD29" s="100"/>
    </row>
    <row r="30" spans="1:30" ht="16" thickTop="1">
      <c r="A30" s="29"/>
      <c r="B30" s="16"/>
      <c r="C30" s="42"/>
      <c r="D30" s="60">
        <f ca="1">TODAY()-C30</f>
        <v>43138</v>
      </c>
      <c r="E30" s="113" t="s">
        <v>76</v>
      </c>
      <c r="F30" s="59">
        <f ca="1">G30*0.000568181818</f>
        <v>-1.2427401132386871E-58</v>
      </c>
      <c r="G30" s="19">
        <f ca="1">H30*1.0936113</f>
        <v>-2.1872226000000002E-55</v>
      </c>
      <c r="H30" s="129">
        <f ca="1">IF(TODAY()&gt;=B23,(AA29-AA20)*1000,-2E-55)</f>
        <v>-2E-55</v>
      </c>
      <c r="I30" s="152"/>
      <c r="J30" s="424" t="s">
        <v>121</v>
      </c>
      <c r="K30" s="452"/>
      <c r="L30" s="452"/>
      <c r="M30" s="453"/>
      <c r="N30" s="453"/>
      <c r="O30" s="259" t="str">
        <f t="shared" si="3"/>
        <v/>
      </c>
      <c r="P30" s="260"/>
      <c r="Q30" s="169">
        <f t="shared" si="4"/>
        <v>0</v>
      </c>
      <c r="R30" s="350"/>
      <c r="S30" s="368" t="str">
        <f t="shared" si="12"/>
        <v/>
      </c>
      <c r="T30" s="350"/>
      <c r="U30" s="350"/>
      <c r="V30" s="350"/>
      <c r="W30" s="350"/>
      <c r="X30" s="234"/>
      <c r="Y30" s="234"/>
      <c r="Z30" s="234"/>
      <c r="AA30" s="348">
        <f t="shared" si="8"/>
        <v>0</v>
      </c>
      <c r="AB30" s="274">
        <f t="shared" si="13"/>
        <v>0</v>
      </c>
      <c r="AC30" s="97"/>
      <c r="AD30" s="100"/>
    </row>
    <row r="31" spans="1:30" ht="19" thickBot="1">
      <c r="A31" s="28"/>
      <c r="B31" s="17"/>
      <c r="C31" s="39"/>
      <c r="D31" s="61">
        <f ca="1">TODAY()-C31</f>
        <v>43138</v>
      </c>
      <c r="E31" s="116" t="s">
        <v>33</v>
      </c>
      <c r="F31" s="62">
        <f>G31*0.0005681818</f>
        <v>27.771512430743396</v>
      </c>
      <c r="G31" s="63">
        <f>H31*1.0936113</f>
        <v>48877.863442200003</v>
      </c>
      <c r="H31" s="131">
        <f>INT(SUM($O23:$O29))</f>
        <v>44694</v>
      </c>
      <c r="I31" s="153"/>
      <c r="J31" s="426" t="str">
        <f>IF(R$2=1,"mph",IF(R$2=2,"mph",IF(R$2=3," km/h","????")))</f>
        <v>mph</v>
      </c>
      <c r="K31" s="454"/>
      <c r="L31" s="454"/>
      <c r="M31" s="455"/>
      <c r="N31" s="455"/>
      <c r="O31" s="259" t="str">
        <f t="shared" si="3"/>
        <v/>
      </c>
      <c r="P31" s="260"/>
      <c r="Q31" s="169">
        <f t="shared" si="4"/>
        <v>0</v>
      </c>
      <c r="R31" s="351"/>
      <c r="S31" s="368" t="str">
        <f t="shared" si="12"/>
        <v/>
      </c>
      <c r="T31" s="351"/>
      <c r="U31" s="351"/>
      <c r="V31" s="351"/>
      <c r="W31" s="351"/>
      <c r="X31" s="234"/>
      <c r="Y31" s="234"/>
      <c r="Z31" s="234"/>
      <c r="AA31" s="348">
        <f t="shared" si="8"/>
        <v>0</v>
      </c>
      <c r="AB31" s="274">
        <f t="shared" si="13"/>
        <v>0</v>
      </c>
      <c r="AC31" s="97"/>
      <c r="AD31" s="100"/>
    </row>
    <row r="32" spans="1:30" ht="16" thickTop="1">
      <c r="A32" s="1" t="s">
        <v>11</v>
      </c>
      <c r="B32" s="57">
        <f t="shared" ref="B32:B38" si="35">IF(B$2&gt;C32,0,C32)</f>
        <v>43395</v>
      </c>
      <c r="C32" s="40">
        <f>C29+1</f>
        <v>43395</v>
      </c>
      <c r="D32" s="22">
        <f t="shared" ca="1" si="1"/>
        <v>-257</v>
      </c>
      <c r="E32" s="118" t="s">
        <v>1</v>
      </c>
      <c r="F32" s="55"/>
      <c r="G32" s="56"/>
      <c r="H32" s="56"/>
      <c r="I32" s="200"/>
      <c r="J32" s="128"/>
      <c r="K32" s="203" t="str">
        <f t="shared" ref="K32" si="36">IF(R32=0,"",IF(L32="","",J32))</f>
        <v/>
      </c>
      <c r="L32" s="154"/>
      <c r="M32" s="56" t="str">
        <f>IF(R32=0,"",IF(J32="","",L32))</f>
        <v/>
      </c>
      <c r="N32" s="330"/>
      <c r="O32" s="259">
        <f t="shared" si="3"/>
        <v>6384.9973836424706</v>
      </c>
      <c r="P32" s="260">
        <f t="shared" ref="P32:P38" si="37">H$56</f>
        <v>197929.98168549727</v>
      </c>
      <c r="Q32" s="169">
        <f t="shared" si="4"/>
        <v>122.98798884701669</v>
      </c>
      <c r="R32" s="169">
        <f>IF(R$2=3,H32+G32/1.0936133+F32/0.0006213712,IF(R$2=2,H32*1.0936133+G32+F32/0.0005681818,IF(R$2=1,H32*0.0005681818*1.0936133+G32*0.0005681818+F32,"")))</f>
        <v>0</v>
      </c>
      <c r="S32" s="368" t="str">
        <f t="shared" si="12"/>
        <v/>
      </c>
      <c r="T32" s="169"/>
      <c r="U32" s="169"/>
      <c r="V32" s="170" t="str">
        <f t="shared" ref="V32:V38" si="38">IF(L32="","",IF(R32=0,"",IF(B32=0,"",IF($R$2=3,R32/L32*60/1000,IF($R$2=2,R32/L32*60/1760,IF($R$2=1,R32/L32*60,""))))))</f>
        <v/>
      </c>
      <c r="W32" s="170" t="str">
        <f t="shared" ref="W32:W38" si="39">IF(R32=0,"",IF(L32="","",V32*L32))</f>
        <v/>
      </c>
      <c r="X32" s="259">
        <f>F32+X29</f>
        <v>0</v>
      </c>
      <c r="Y32" s="259">
        <f>G32+Y29</f>
        <v>0</v>
      </c>
      <c r="Z32" s="259">
        <f>H32+Z29</f>
        <v>0</v>
      </c>
      <c r="AA32" s="348">
        <f t="shared" si="8"/>
        <v>0</v>
      </c>
      <c r="AB32" s="274">
        <f t="shared" si="13"/>
        <v>0</v>
      </c>
      <c r="AC32" s="97"/>
      <c r="AD32" s="100"/>
    </row>
    <row r="33" spans="1:30">
      <c r="A33" s="1"/>
      <c r="B33" s="5">
        <f t="shared" si="35"/>
        <v>43396</v>
      </c>
      <c r="C33" s="38">
        <f t="shared" ref="C33:C38" si="40">C32+1</f>
        <v>43396</v>
      </c>
      <c r="D33" s="7">
        <f t="shared" ca="1" si="1"/>
        <v>-258</v>
      </c>
      <c r="E33" s="114" t="s">
        <v>2</v>
      </c>
      <c r="F33" s="55"/>
      <c r="G33" s="56"/>
      <c r="H33" s="56"/>
      <c r="I33" s="200"/>
      <c r="J33" s="56"/>
      <c r="K33" s="204" t="str">
        <f>IF(R33=0,"",IF(L33="","",J33))</f>
        <v/>
      </c>
      <c r="L33" s="56"/>
      <c r="M33" s="56" t="str">
        <f t="shared" ref="M33:M38" si="41">IF(R33=0,"",IF(J33="","",L33))</f>
        <v/>
      </c>
      <c r="N33" s="324"/>
      <c r="O33" s="259">
        <f t="shared" si="3"/>
        <v>6384.9973836424706</v>
      </c>
      <c r="P33" s="260">
        <f t="shared" si="37"/>
        <v>197929.98168549727</v>
      </c>
      <c r="Q33" s="169">
        <f t="shared" si="4"/>
        <v>122.98798884701669</v>
      </c>
      <c r="R33" s="169">
        <f t="shared" ref="R33:R38" si="42">IF(R$2=3,H33+G33/1.0936133+F33/0.0006213712,IF(R$2=2,H33*1.0936133+G33+F33/0.0005681818,IF(R$2=1,H33*0.0005681818*1.0936133+G33*0.0005681818+F33,"")))</f>
        <v>0</v>
      </c>
      <c r="S33" s="368" t="str">
        <f t="shared" si="12"/>
        <v/>
      </c>
      <c r="T33" s="169"/>
      <c r="U33" s="169"/>
      <c r="V33" s="170" t="str">
        <f t="shared" si="38"/>
        <v/>
      </c>
      <c r="W33" s="170" t="str">
        <f t="shared" si="39"/>
        <v/>
      </c>
      <c r="X33" s="259">
        <f t="shared" ref="X33:Z38" si="43">F33+X32</f>
        <v>0</v>
      </c>
      <c r="Y33" s="259">
        <f t="shared" si="43"/>
        <v>0</v>
      </c>
      <c r="Z33" s="259">
        <f t="shared" si="43"/>
        <v>0</v>
      </c>
      <c r="AA33" s="348">
        <f t="shared" si="8"/>
        <v>0</v>
      </c>
      <c r="AB33" s="274">
        <f t="shared" si="13"/>
        <v>0</v>
      </c>
      <c r="AC33" s="97"/>
      <c r="AD33" s="100"/>
    </row>
    <row r="34" spans="1:30">
      <c r="A34" s="1"/>
      <c r="B34" s="5">
        <f t="shared" si="35"/>
        <v>43397</v>
      </c>
      <c r="C34" s="38">
        <f t="shared" si="40"/>
        <v>43397</v>
      </c>
      <c r="D34" s="7">
        <f t="shared" ca="1" si="1"/>
        <v>-259</v>
      </c>
      <c r="E34" s="114" t="s">
        <v>3</v>
      </c>
      <c r="F34" s="55"/>
      <c r="G34" s="56"/>
      <c r="H34" s="56"/>
      <c r="I34" s="200"/>
      <c r="J34" s="56"/>
      <c r="K34" s="204" t="str">
        <f t="shared" ref="K34:K38" si="44">IF(R34=0,"",IF(L34="","",J34))</f>
        <v/>
      </c>
      <c r="L34" s="56"/>
      <c r="M34" s="56" t="str">
        <f t="shared" si="41"/>
        <v/>
      </c>
      <c r="N34" s="324"/>
      <c r="O34" s="259">
        <f t="shared" si="3"/>
        <v>6384.9973836424706</v>
      </c>
      <c r="P34" s="260">
        <f t="shared" si="37"/>
        <v>197929.98168549727</v>
      </c>
      <c r="Q34" s="169">
        <f t="shared" si="4"/>
        <v>122.98798884701669</v>
      </c>
      <c r="R34" s="169">
        <f t="shared" si="42"/>
        <v>0</v>
      </c>
      <c r="S34" s="368" t="str">
        <f t="shared" si="12"/>
        <v/>
      </c>
      <c r="T34" s="169"/>
      <c r="U34" s="169"/>
      <c r="V34" s="170" t="str">
        <f t="shared" si="38"/>
        <v/>
      </c>
      <c r="W34" s="170" t="str">
        <f t="shared" si="39"/>
        <v/>
      </c>
      <c r="X34" s="259">
        <f t="shared" si="43"/>
        <v>0</v>
      </c>
      <c r="Y34" s="259">
        <f t="shared" si="43"/>
        <v>0</v>
      </c>
      <c r="Z34" s="259">
        <f t="shared" si="43"/>
        <v>0</v>
      </c>
      <c r="AA34" s="348">
        <f t="shared" si="8"/>
        <v>0</v>
      </c>
      <c r="AB34" s="274">
        <f t="shared" si="13"/>
        <v>0</v>
      </c>
      <c r="AC34" s="97"/>
      <c r="AD34" s="100"/>
    </row>
    <row r="35" spans="1:30">
      <c r="A35" s="1"/>
      <c r="B35" s="5">
        <f t="shared" si="35"/>
        <v>43398</v>
      </c>
      <c r="C35" s="38">
        <f t="shared" si="40"/>
        <v>43398</v>
      </c>
      <c r="D35" s="7">
        <f t="shared" ca="1" si="1"/>
        <v>-260</v>
      </c>
      <c r="E35" s="114" t="s">
        <v>4</v>
      </c>
      <c r="F35" s="55"/>
      <c r="G35" s="56"/>
      <c r="H35" s="56"/>
      <c r="I35" s="200"/>
      <c r="J35" s="56"/>
      <c r="K35" s="204" t="str">
        <f t="shared" si="44"/>
        <v/>
      </c>
      <c r="L35" s="56"/>
      <c r="M35" s="56" t="str">
        <f t="shared" si="41"/>
        <v/>
      </c>
      <c r="N35" s="324"/>
      <c r="O35" s="259">
        <f t="shared" si="3"/>
        <v>6384.9973836424706</v>
      </c>
      <c r="P35" s="260">
        <f t="shared" si="37"/>
        <v>197929.98168549727</v>
      </c>
      <c r="Q35" s="169">
        <f t="shared" si="4"/>
        <v>122.98798884701669</v>
      </c>
      <c r="R35" s="169">
        <f t="shared" si="42"/>
        <v>0</v>
      </c>
      <c r="S35" s="368" t="str">
        <f t="shared" si="12"/>
        <v/>
      </c>
      <c r="T35" s="169"/>
      <c r="U35" s="169"/>
      <c r="V35" s="170" t="str">
        <f t="shared" si="38"/>
        <v/>
      </c>
      <c r="W35" s="170" t="str">
        <f t="shared" si="39"/>
        <v/>
      </c>
      <c r="X35" s="259">
        <f t="shared" si="43"/>
        <v>0</v>
      </c>
      <c r="Y35" s="259">
        <f t="shared" si="43"/>
        <v>0</v>
      </c>
      <c r="Z35" s="259">
        <f t="shared" si="43"/>
        <v>0</v>
      </c>
      <c r="AA35" s="348">
        <f t="shared" si="8"/>
        <v>0</v>
      </c>
      <c r="AB35" s="274">
        <f t="shared" si="13"/>
        <v>0</v>
      </c>
      <c r="AC35" s="97"/>
      <c r="AD35" s="100"/>
    </row>
    <row r="36" spans="1:30">
      <c r="A36" s="1"/>
      <c r="B36" s="5">
        <f t="shared" si="35"/>
        <v>43399</v>
      </c>
      <c r="C36" s="38">
        <f t="shared" si="40"/>
        <v>43399</v>
      </c>
      <c r="D36" s="7">
        <f t="shared" ca="1" si="1"/>
        <v>-261</v>
      </c>
      <c r="E36" s="114" t="s">
        <v>5</v>
      </c>
      <c r="F36" s="55"/>
      <c r="G36" s="56"/>
      <c r="H36" s="56"/>
      <c r="I36" s="200"/>
      <c r="J36" s="56"/>
      <c r="K36" s="204" t="str">
        <f t="shared" si="44"/>
        <v/>
      </c>
      <c r="L36" s="56"/>
      <c r="M36" s="56" t="str">
        <f t="shared" si="41"/>
        <v/>
      </c>
      <c r="N36" s="324"/>
      <c r="O36" s="259">
        <f t="shared" si="3"/>
        <v>6384.9973836424706</v>
      </c>
      <c r="P36" s="260">
        <f t="shared" si="37"/>
        <v>197929.98168549727</v>
      </c>
      <c r="Q36" s="169">
        <f t="shared" si="4"/>
        <v>122.98798884701669</v>
      </c>
      <c r="R36" s="169">
        <f t="shared" si="42"/>
        <v>0</v>
      </c>
      <c r="S36" s="368" t="str">
        <f t="shared" si="12"/>
        <v/>
      </c>
      <c r="T36" s="169"/>
      <c r="U36" s="169"/>
      <c r="V36" s="170" t="str">
        <f t="shared" si="38"/>
        <v/>
      </c>
      <c r="W36" s="170" t="str">
        <f t="shared" si="39"/>
        <v/>
      </c>
      <c r="X36" s="259">
        <f t="shared" si="43"/>
        <v>0</v>
      </c>
      <c r="Y36" s="259">
        <f t="shared" si="43"/>
        <v>0</v>
      </c>
      <c r="Z36" s="259">
        <f t="shared" si="43"/>
        <v>0</v>
      </c>
      <c r="AA36" s="348">
        <f t="shared" si="8"/>
        <v>0</v>
      </c>
      <c r="AB36" s="274">
        <f t="shared" si="13"/>
        <v>0</v>
      </c>
      <c r="AC36" s="97"/>
      <c r="AD36" s="100"/>
    </row>
    <row r="37" spans="1:30">
      <c r="A37" s="1"/>
      <c r="B37" s="5">
        <f t="shared" si="35"/>
        <v>43400</v>
      </c>
      <c r="C37" s="38">
        <f t="shared" si="40"/>
        <v>43400</v>
      </c>
      <c r="D37" s="7">
        <f t="shared" ca="1" si="1"/>
        <v>-262</v>
      </c>
      <c r="E37" s="114" t="s">
        <v>6</v>
      </c>
      <c r="F37" s="55"/>
      <c r="G37" s="56"/>
      <c r="H37" s="56"/>
      <c r="I37" s="200"/>
      <c r="J37" s="56"/>
      <c r="K37" s="204" t="str">
        <f t="shared" si="44"/>
        <v/>
      </c>
      <c r="L37" s="56"/>
      <c r="M37" s="56" t="str">
        <f t="shared" si="41"/>
        <v/>
      </c>
      <c r="N37" s="324"/>
      <c r="O37" s="259">
        <f t="shared" si="3"/>
        <v>6384.9973836424706</v>
      </c>
      <c r="P37" s="260">
        <f t="shared" si="37"/>
        <v>197929.98168549727</v>
      </c>
      <c r="Q37" s="169">
        <f t="shared" si="4"/>
        <v>122.98798884701669</v>
      </c>
      <c r="R37" s="169">
        <f t="shared" si="42"/>
        <v>0</v>
      </c>
      <c r="S37" s="368" t="str">
        <f t="shared" si="12"/>
        <v/>
      </c>
      <c r="T37" s="169"/>
      <c r="U37" s="169"/>
      <c r="V37" s="170" t="str">
        <f t="shared" si="38"/>
        <v/>
      </c>
      <c r="W37" s="170" t="str">
        <f t="shared" si="39"/>
        <v/>
      </c>
      <c r="X37" s="259">
        <f t="shared" si="43"/>
        <v>0</v>
      </c>
      <c r="Y37" s="259">
        <f t="shared" si="43"/>
        <v>0</v>
      </c>
      <c r="Z37" s="259">
        <f t="shared" si="43"/>
        <v>0</v>
      </c>
      <c r="AA37" s="348">
        <f t="shared" si="8"/>
        <v>0</v>
      </c>
      <c r="AB37" s="274">
        <f t="shared" si="13"/>
        <v>0</v>
      </c>
      <c r="AC37" s="97"/>
      <c r="AD37" s="100"/>
    </row>
    <row r="38" spans="1:30" ht="16" thickBot="1">
      <c r="A38" s="1"/>
      <c r="B38" s="53">
        <f t="shared" si="35"/>
        <v>43401</v>
      </c>
      <c r="C38" s="41">
        <f t="shared" si="40"/>
        <v>43401</v>
      </c>
      <c r="D38" s="54">
        <f t="shared" ca="1" si="1"/>
        <v>-263</v>
      </c>
      <c r="E38" s="117" t="s">
        <v>7</v>
      </c>
      <c r="F38" s="55"/>
      <c r="G38" s="56"/>
      <c r="H38" s="56"/>
      <c r="I38" s="200"/>
      <c r="J38" s="56"/>
      <c r="K38" s="205" t="str">
        <f t="shared" si="44"/>
        <v/>
      </c>
      <c r="L38" s="56"/>
      <c r="M38" s="56" t="str">
        <f t="shared" si="41"/>
        <v/>
      </c>
      <c r="N38" s="329"/>
      <c r="O38" s="259">
        <f t="shared" si="3"/>
        <v>6384.9973836424706</v>
      </c>
      <c r="P38" s="260">
        <f t="shared" si="37"/>
        <v>197929.98168549727</v>
      </c>
      <c r="Q38" s="169">
        <f t="shared" si="4"/>
        <v>122.98798884701669</v>
      </c>
      <c r="R38" s="169">
        <f t="shared" si="42"/>
        <v>0</v>
      </c>
      <c r="S38" s="368" t="str">
        <f t="shared" si="12"/>
        <v/>
      </c>
      <c r="T38" s="169"/>
      <c r="U38" s="169"/>
      <c r="V38" s="170" t="str">
        <f t="shared" si="38"/>
        <v/>
      </c>
      <c r="W38" s="170" t="str">
        <f t="shared" si="39"/>
        <v/>
      </c>
      <c r="X38" s="259">
        <f t="shared" si="43"/>
        <v>0</v>
      </c>
      <c r="Y38" s="259">
        <f t="shared" si="43"/>
        <v>0</v>
      </c>
      <c r="Z38" s="259">
        <f t="shared" si="43"/>
        <v>0</v>
      </c>
      <c r="AA38" s="348">
        <f t="shared" si="8"/>
        <v>0</v>
      </c>
      <c r="AB38" s="274">
        <f t="shared" si="13"/>
        <v>0</v>
      </c>
      <c r="AC38" s="97"/>
      <c r="AD38" s="100"/>
    </row>
    <row r="39" spans="1:30" ht="16" thickTop="1">
      <c r="A39" s="29"/>
      <c r="B39" s="16"/>
      <c r="C39" s="42"/>
      <c r="D39" s="60">
        <f ca="1">TODAY()-C39</f>
        <v>43138</v>
      </c>
      <c r="E39" s="113" t="s">
        <v>76</v>
      </c>
      <c r="F39" s="59">
        <f ca="1">G39*0.000568181818</f>
        <v>-1.2427401132386871E-58</v>
      </c>
      <c r="G39" s="19">
        <f ca="1">H39*1.0936113</f>
        <v>-2.1872226000000002E-55</v>
      </c>
      <c r="H39" s="20">
        <f ca="1">IF(TODAY()&gt;=B32,(AA38-AA29)*1000,-2E-55)</f>
        <v>-2E-55</v>
      </c>
      <c r="I39" s="152"/>
      <c r="J39" s="218" t="s">
        <v>137</v>
      </c>
      <c r="K39" s="155"/>
      <c r="L39" s="219" t="s">
        <v>138</v>
      </c>
      <c r="M39" s="155"/>
      <c r="N39" s="331" t="s">
        <v>139</v>
      </c>
      <c r="O39" s="259" t="str">
        <f t="shared" si="3"/>
        <v/>
      </c>
      <c r="P39" s="260"/>
      <c r="Q39" s="169">
        <f t="shared" si="4"/>
        <v>0</v>
      </c>
      <c r="R39" s="350"/>
      <c r="S39" s="368" t="str">
        <f t="shared" si="12"/>
        <v/>
      </c>
      <c r="T39" s="350"/>
      <c r="U39" s="350"/>
      <c r="V39" s="350"/>
      <c r="W39" s="350"/>
      <c r="X39" s="234"/>
      <c r="Y39" s="234"/>
      <c r="Z39" s="234"/>
      <c r="AA39" s="348">
        <f t="shared" si="8"/>
        <v>0</v>
      </c>
      <c r="AB39" s="274">
        <f t="shared" si="13"/>
        <v>0</v>
      </c>
      <c r="AC39" s="97"/>
      <c r="AD39" s="100"/>
    </row>
    <row r="40" spans="1:30" ht="16" thickBot="1">
      <c r="A40" s="28"/>
      <c r="B40" s="17"/>
      <c r="C40" s="39"/>
      <c r="D40" s="61">
        <f ca="1">TODAY()-C40</f>
        <v>43138</v>
      </c>
      <c r="E40" s="116" t="s">
        <v>33</v>
      </c>
      <c r="F40" s="62">
        <f>G40*0.0005681818</f>
        <v>27.771512430743396</v>
      </c>
      <c r="G40" s="63">
        <f>H40*1.0936113</f>
        <v>48877.863442200003</v>
      </c>
      <c r="H40" s="6">
        <f>INT(SUM($O32:$O38))</f>
        <v>44694</v>
      </c>
      <c r="I40" s="153"/>
      <c r="J40" s="156"/>
      <c r="K40" s="286"/>
      <c r="L40" s="217">
        <f>COUNT(S5:S51)-COUNT(V5:V51)</f>
        <v>0</v>
      </c>
      <c r="M40" s="157"/>
      <c r="N40" s="157"/>
      <c r="O40" s="259" t="str">
        <f t="shared" si="3"/>
        <v/>
      </c>
      <c r="P40" s="260"/>
      <c r="Q40" s="169">
        <f t="shared" si="4"/>
        <v>0</v>
      </c>
      <c r="R40" s="351"/>
      <c r="S40" s="368" t="str">
        <f t="shared" si="12"/>
        <v/>
      </c>
      <c r="T40" s="351"/>
      <c r="U40" s="351"/>
      <c r="V40" s="351"/>
      <c r="W40" s="351"/>
      <c r="X40" s="234"/>
      <c r="Y40" s="234"/>
      <c r="Z40" s="234"/>
      <c r="AA40" s="348">
        <f t="shared" si="8"/>
        <v>0</v>
      </c>
      <c r="AB40" s="274">
        <f t="shared" si="13"/>
        <v>0</v>
      </c>
      <c r="AC40" s="97"/>
      <c r="AD40" s="100"/>
    </row>
    <row r="41" spans="1:30" ht="16" thickTop="1">
      <c r="A41" s="1" t="s">
        <v>12</v>
      </c>
      <c r="B41" s="57">
        <f t="shared" ref="B41:B47" si="45">IF(B$3&lt;C41,0,C41)</f>
        <v>43402</v>
      </c>
      <c r="C41" s="40">
        <f>C38+1</f>
        <v>43402</v>
      </c>
      <c r="D41" s="22">
        <f t="shared" ca="1" si="1"/>
        <v>-264</v>
      </c>
      <c r="E41" s="118" t="str">
        <f>IF(B41=0,"","Monday")</f>
        <v>Monday</v>
      </c>
      <c r="F41" s="55"/>
      <c r="G41" s="56"/>
      <c r="H41" s="56"/>
      <c r="I41" s="200"/>
      <c r="J41" s="128"/>
      <c r="K41" s="287" t="str">
        <f t="shared" ref="K41" si="46">IF(R41=0,"",IF(L41="","",J41))</f>
        <v/>
      </c>
      <c r="L41" s="128"/>
      <c r="M41" s="56" t="str">
        <f>IF(R41=0,"",IF(J41="","",L41))</f>
        <v/>
      </c>
      <c r="N41" s="330"/>
      <c r="O41" s="259">
        <f t="shared" si="3"/>
        <v>6384.9973836424706</v>
      </c>
      <c r="P41" s="260">
        <f t="shared" ref="P41:P47" si="47">H$56</f>
        <v>197929.98168549727</v>
      </c>
      <c r="Q41" s="169">
        <f t="shared" si="4"/>
        <v>122.98798884701669</v>
      </c>
      <c r="R41" s="169">
        <f>IF(R$2=3,H41+G41/1.0936133+F41/0.0006213712,IF(R$2=2,H41*1.0936133+G41+F41/0.0005681818,IF(R$2=1,H41*0.0005681818*1.0936133+G41*0.0005681818+F41,"")))</f>
        <v>0</v>
      </c>
      <c r="S41" s="368" t="str">
        <f t="shared" si="12"/>
        <v/>
      </c>
      <c r="T41" s="169"/>
      <c r="U41" s="169"/>
      <c r="V41" s="170" t="str">
        <f t="shared" ref="V41:V47" si="48">IF(L41="","",IF(R41=0,"",IF(B41=0,"",IF($R$2=3,R41/L41*60/1000,IF($R$2=2,R41/L41*60/1760,IF($R$2=1,R41/L41*60,""))))))</f>
        <v/>
      </c>
      <c r="W41" s="170" t="str">
        <f t="shared" ref="W41:W47" si="49">IF(R41=0,"",IF(L41="","",V41*L41))</f>
        <v/>
      </c>
      <c r="X41" s="259">
        <f>F41+X38</f>
        <v>0</v>
      </c>
      <c r="Y41" s="259">
        <f>G41+Y38</f>
        <v>0</v>
      </c>
      <c r="Z41" s="259">
        <f>H41+Z38</f>
        <v>0</v>
      </c>
      <c r="AA41" s="348">
        <f t="shared" si="8"/>
        <v>0</v>
      </c>
      <c r="AB41" s="274">
        <f t="shared" si="13"/>
        <v>0</v>
      </c>
      <c r="AC41" s="97"/>
      <c r="AD41" s="100"/>
    </row>
    <row r="42" spans="1:30">
      <c r="A42" s="1"/>
      <c r="B42" s="5">
        <f t="shared" si="45"/>
        <v>43403</v>
      </c>
      <c r="C42" s="38">
        <f t="shared" ref="C42:C47" si="50">C41+1</f>
        <v>43403</v>
      </c>
      <c r="D42" s="7">
        <f t="shared" ca="1" si="1"/>
        <v>-265</v>
      </c>
      <c r="E42" s="114" t="str">
        <f>IF(B42=0,"","Tuesday")</f>
        <v>Tuesday</v>
      </c>
      <c r="F42" s="55"/>
      <c r="G42" s="56"/>
      <c r="H42" s="56"/>
      <c r="I42" s="200"/>
      <c r="J42" s="56"/>
      <c r="K42" s="204" t="str">
        <f>IF(R42=0,"",IF(L42="","",J42))</f>
        <v/>
      </c>
      <c r="L42" s="56"/>
      <c r="M42" s="56" t="str">
        <f t="shared" ref="M42:M47" si="51">IF(R42=0,"",IF(J42="","",L42))</f>
        <v/>
      </c>
      <c r="N42" s="324"/>
      <c r="O42" s="259">
        <f t="shared" si="3"/>
        <v>6384.9973836424706</v>
      </c>
      <c r="P42" s="260">
        <f t="shared" si="47"/>
        <v>197929.98168549727</v>
      </c>
      <c r="Q42" s="169">
        <f t="shared" si="4"/>
        <v>122.98798884701669</v>
      </c>
      <c r="R42" s="169">
        <f t="shared" ref="R42:R47" si="52">IF(R$2=3,H42+G42/1.0936133+F42/0.0006213712,IF(R$2=2,H42*1.0936133+G42+F42/0.0005681818,IF(R$2=1,H42*0.0005681818*1.0936133+G42*0.0005681818+F42,"")))</f>
        <v>0</v>
      </c>
      <c r="S42" s="368" t="str">
        <f t="shared" si="12"/>
        <v/>
      </c>
      <c r="T42" s="169"/>
      <c r="U42" s="169"/>
      <c r="V42" s="170" t="str">
        <f t="shared" si="48"/>
        <v/>
      </c>
      <c r="W42" s="170" t="str">
        <f t="shared" si="49"/>
        <v/>
      </c>
      <c r="X42" s="259">
        <f t="shared" ref="X42:Z47" si="53">F42+X41</f>
        <v>0</v>
      </c>
      <c r="Y42" s="259">
        <f t="shared" si="53"/>
        <v>0</v>
      </c>
      <c r="Z42" s="259">
        <f t="shared" si="53"/>
        <v>0</v>
      </c>
      <c r="AA42" s="348">
        <f t="shared" si="8"/>
        <v>0</v>
      </c>
      <c r="AB42" s="274">
        <f t="shared" si="13"/>
        <v>0</v>
      </c>
      <c r="AC42" s="97"/>
      <c r="AD42" s="100"/>
    </row>
    <row r="43" spans="1:30">
      <c r="A43" s="1"/>
      <c r="B43" s="5">
        <f t="shared" si="45"/>
        <v>43404</v>
      </c>
      <c r="C43" s="38">
        <f t="shared" si="50"/>
        <v>43404</v>
      </c>
      <c r="D43" s="7">
        <f t="shared" ca="1" si="1"/>
        <v>-266</v>
      </c>
      <c r="E43" s="114" t="str">
        <f>IF(B43=0,"","Wednesday")</f>
        <v>Wednesday</v>
      </c>
      <c r="F43" s="55"/>
      <c r="G43" s="56"/>
      <c r="H43" s="56"/>
      <c r="I43" s="200"/>
      <c r="J43" s="56"/>
      <c r="K43" s="204" t="str">
        <f t="shared" ref="K43:K47" si="54">IF(R43=0,"",IF(L43="","",J43))</f>
        <v/>
      </c>
      <c r="L43" s="56"/>
      <c r="M43" s="56" t="str">
        <f t="shared" si="51"/>
        <v/>
      </c>
      <c r="N43" s="324"/>
      <c r="O43" s="259">
        <f t="shared" si="3"/>
        <v>6384.9973836424706</v>
      </c>
      <c r="P43" s="260">
        <f t="shared" si="47"/>
        <v>197929.98168549727</v>
      </c>
      <c r="Q43" s="169">
        <f t="shared" si="4"/>
        <v>122.98798884701669</v>
      </c>
      <c r="R43" s="169">
        <f t="shared" si="52"/>
        <v>0</v>
      </c>
      <c r="S43" s="368" t="str">
        <f t="shared" si="12"/>
        <v/>
      </c>
      <c r="T43" s="169"/>
      <c r="U43" s="169"/>
      <c r="V43" s="170" t="str">
        <f t="shared" si="48"/>
        <v/>
      </c>
      <c r="W43" s="170" t="str">
        <f t="shared" si="49"/>
        <v/>
      </c>
      <c r="X43" s="259">
        <f t="shared" si="53"/>
        <v>0</v>
      </c>
      <c r="Y43" s="259">
        <f t="shared" si="53"/>
        <v>0</v>
      </c>
      <c r="Z43" s="259">
        <f t="shared" si="53"/>
        <v>0</v>
      </c>
      <c r="AA43" s="348">
        <f t="shared" si="8"/>
        <v>0</v>
      </c>
      <c r="AB43" s="274">
        <f t="shared" si="13"/>
        <v>0</v>
      </c>
      <c r="AC43" s="97"/>
      <c r="AD43" s="100"/>
    </row>
    <row r="44" spans="1:30">
      <c r="A44" s="1"/>
      <c r="B44" s="5">
        <f t="shared" si="45"/>
        <v>0</v>
      </c>
      <c r="C44" s="38">
        <f t="shared" si="50"/>
        <v>43405</v>
      </c>
      <c r="D44" s="7">
        <f t="shared" ca="1" si="1"/>
        <v>-267</v>
      </c>
      <c r="E44" s="114" t="str">
        <f>IF(B44=0,"","Thursday")</f>
        <v/>
      </c>
      <c r="F44" s="55"/>
      <c r="G44" s="56"/>
      <c r="H44" s="56"/>
      <c r="I44" s="200"/>
      <c r="J44" s="56"/>
      <c r="K44" s="204" t="str">
        <f t="shared" si="54"/>
        <v/>
      </c>
      <c r="L44" s="56"/>
      <c r="M44" s="56" t="str">
        <f t="shared" si="51"/>
        <v/>
      </c>
      <c r="N44" s="324"/>
      <c r="O44" s="259" t="str">
        <f t="shared" si="3"/>
        <v/>
      </c>
      <c r="P44" s="260">
        <f t="shared" si="47"/>
        <v>197929.98168549727</v>
      </c>
      <c r="Q44" s="169">
        <f t="shared" si="4"/>
        <v>122.98798884701669</v>
      </c>
      <c r="R44" s="169">
        <f t="shared" si="52"/>
        <v>0</v>
      </c>
      <c r="S44" s="368" t="str">
        <f t="shared" si="12"/>
        <v/>
      </c>
      <c r="T44" s="169"/>
      <c r="U44" s="169"/>
      <c r="V44" s="170" t="str">
        <f t="shared" si="48"/>
        <v/>
      </c>
      <c r="W44" s="170" t="str">
        <f t="shared" si="49"/>
        <v/>
      </c>
      <c r="X44" s="259">
        <f t="shared" si="53"/>
        <v>0</v>
      </c>
      <c r="Y44" s="259">
        <f t="shared" si="53"/>
        <v>0</v>
      </c>
      <c r="Z44" s="259">
        <f t="shared" si="53"/>
        <v>0</v>
      </c>
      <c r="AA44" s="348">
        <f t="shared" si="8"/>
        <v>0</v>
      </c>
      <c r="AB44" s="274">
        <f t="shared" si="13"/>
        <v>0</v>
      </c>
      <c r="AC44" s="97"/>
      <c r="AD44" s="100"/>
    </row>
    <row r="45" spans="1:30">
      <c r="A45" s="1"/>
      <c r="B45" s="5">
        <f t="shared" si="45"/>
        <v>0</v>
      </c>
      <c r="C45" s="38">
        <f t="shared" si="50"/>
        <v>43406</v>
      </c>
      <c r="D45" s="7">
        <f t="shared" ca="1" si="1"/>
        <v>-268</v>
      </c>
      <c r="E45" s="114" t="str">
        <f>IF(B45=0,"","Friday")</f>
        <v/>
      </c>
      <c r="F45" s="55"/>
      <c r="G45" s="56"/>
      <c r="H45" s="56"/>
      <c r="I45" s="200"/>
      <c r="J45" s="56"/>
      <c r="K45" s="204" t="str">
        <f t="shared" si="54"/>
        <v/>
      </c>
      <c r="L45" s="56"/>
      <c r="M45" s="56" t="str">
        <f t="shared" si="51"/>
        <v/>
      </c>
      <c r="N45" s="324"/>
      <c r="O45" s="259" t="str">
        <f t="shared" si="3"/>
        <v/>
      </c>
      <c r="P45" s="260">
        <f t="shared" si="47"/>
        <v>197929.98168549727</v>
      </c>
      <c r="Q45" s="169">
        <f t="shared" si="4"/>
        <v>122.98798884701669</v>
      </c>
      <c r="R45" s="169">
        <f t="shared" si="52"/>
        <v>0</v>
      </c>
      <c r="S45" s="368" t="str">
        <f t="shared" si="12"/>
        <v/>
      </c>
      <c r="T45" s="169"/>
      <c r="U45" s="169"/>
      <c r="V45" s="170" t="str">
        <f t="shared" si="48"/>
        <v/>
      </c>
      <c r="W45" s="170" t="str">
        <f t="shared" si="49"/>
        <v/>
      </c>
      <c r="X45" s="259">
        <f t="shared" si="53"/>
        <v>0</v>
      </c>
      <c r="Y45" s="259">
        <f t="shared" si="53"/>
        <v>0</v>
      </c>
      <c r="Z45" s="259">
        <f t="shared" si="53"/>
        <v>0</v>
      </c>
      <c r="AA45" s="348">
        <f t="shared" si="8"/>
        <v>0</v>
      </c>
      <c r="AB45" s="274">
        <f t="shared" si="13"/>
        <v>0</v>
      </c>
      <c r="AC45" s="97"/>
      <c r="AD45" s="100"/>
    </row>
    <row r="46" spans="1:30">
      <c r="A46" s="1"/>
      <c r="B46" s="5">
        <f t="shared" si="45"/>
        <v>0</v>
      </c>
      <c r="C46" s="38">
        <f t="shared" si="50"/>
        <v>43407</v>
      </c>
      <c r="D46" s="7">
        <f t="shared" ca="1" si="1"/>
        <v>-269</v>
      </c>
      <c r="E46" s="114" t="str">
        <f>IF(B46=0,"","Saturday")</f>
        <v/>
      </c>
      <c r="F46" s="55"/>
      <c r="G46" s="56"/>
      <c r="H46" s="56"/>
      <c r="I46" s="200"/>
      <c r="J46" s="56"/>
      <c r="K46" s="204" t="str">
        <f t="shared" si="54"/>
        <v/>
      </c>
      <c r="L46" s="56"/>
      <c r="M46" s="56" t="str">
        <f t="shared" si="51"/>
        <v/>
      </c>
      <c r="N46" s="324"/>
      <c r="O46" s="259" t="str">
        <f t="shared" si="3"/>
        <v/>
      </c>
      <c r="P46" s="260">
        <f t="shared" si="47"/>
        <v>197929.98168549727</v>
      </c>
      <c r="Q46" s="169">
        <f t="shared" si="4"/>
        <v>122.98798884701669</v>
      </c>
      <c r="R46" s="169">
        <f t="shared" si="52"/>
        <v>0</v>
      </c>
      <c r="S46" s="368" t="str">
        <f t="shared" si="12"/>
        <v/>
      </c>
      <c r="T46" s="169"/>
      <c r="U46" s="169"/>
      <c r="V46" s="170" t="str">
        <f t="shared" si="48"/>
        <v/>
      </c>
      <c r="W46" s="170" t="str">
        <f t="shared" si="49"/>
        <v/>
      </c>
      <c r="X46" s="259">
        <f t="shared" si="53"/>
        <v>0</v>
      </c>
      <c r="Y46" s="259">
        <f t="shared" si="53"/>
        <v>0</v>
      </c>
      <c r="Z46" s="259">
        <f t="shared" si="53"/>
        <v>0</v>
      </c>
      <c r="AA46" s="348">
        <f t="shared" si="8"/>
        <v>0</v>
      </c>
      <c r="AB46" s="274">
        <f t="shared" si="13"/>
        <v>0</v>
      </c>
      <c r="AC46" s="97"/>
      <c r="AD46" s="100"/>
    </row>
    <row r="47" spans="1:30" ht="16" thickBot="1">
      <c r="A47" s="1"/>
      <c r="B47" s="53">
        <f t="shared" si="45"/>
        <v>0</v>
      </c>
      <c r="C47" s="41">
        <f t="shared" si="50"/>
        <v>43408</v>
      </c>
      <c r="D47" s="54">
        <f t="shared" ca="1" si="1"/>
        <v>-270</v>
      </c>
      <c r="E47" s="117" t="str">
        <f>IF(B47=0,"","Sunday")</f>
        <v/>
      </c>
      <c r="F47" s="55"/>
      <c r="G47" s="56"/>
      <c r="H47" s="56"/>
      <c r="I47" s="200"/>
      <c r="J47" s="56"/>
      <c r="K47" s="205" t="str">
        <f t="shared" si="54"/>
        <v/>
      </c>
      <c r="L47" s="56"/>
      <c r="M47" s="56" t="str">
        <f t="shared" si="51"/>
        <v/>
      </c>
      <c r="N47" s="329"/>
      <c r="O47" s="259" t="str">
        <f t="shared" si="3"/>
        <v/>
      </c>
      <c r="P47" s="260">
        <f t="shared" si="47"/>
        <v>197929.98168549727</v>
      </c>
      <c r="Q47" s="169">
        <f t="shared" si="4"/>
        <v>122.98798884701669</v>
      </c>
      <c r="R47" s="169">
        <f t="shared" si="52"/>
        <v>0</v>
      </c>
      <c r="S47" s="368" t="str">
        <f t="shared" si="12"/>
        <v/>
      </c>
      <c r="T47" s="169"/>
      <c r="U47" s="169"/>
      <c r="V47" s="170" t="str">
        <f t="shared" si="48"/>
        <v/>
      </c>
      <c r="W47" s="170" t="str">
        <f t="shared" si="49"/>
        <v/>
      </c>
      <c r="X47" s="259">
        <f t="shared" si="53"/>
        <v>0</v>
      </c>
      <c r="Y47" s="259">
        <f t="shared" si="53"/>
        <v>0</v>
      </c>
      <c r="Z47" s="259">
        <f t="shared" si="53"/>
        <v>0</v>
      </c>
      <c r="AA47" s="348">
        <f t="shared" si="8"/>
        <v>0</v>
      </c>
      <c r="AB47" s="274">
        <f t="shared" si="13"/>
        <v>0</v>
      </c>
      <c r="AC47" s="97"/>
      <c r="AD47" s="100"/>
    </row>
    <row r="48" spans="1:30" ht="16" thickTop="1">
      <c r="A48" s="29"/>
      <c r="B48" s="16"/>
      <c r="C48" s="42"/>
      <c r="D48" s="60">
        <f ca="1">TODAY()-C48</f>
        <v>43138</v>
      </c>
      <c r="E48" s="113" t="s">
        <v>76</v>
      </c>
      <c r="F48" s="59">
        <f ca="1">G48*0.000568181818</f>
        <v>-1.2427401132386871E-58</v>
      </c>
      <c r="G48" s="19">
        <f ca="1">H48*1.0936113</f>
        <v>-2.1872226000000002E-55</v>
      </c>
      <c r="H48" s="20">
        <f ca="1">IF(SUM(B41:B47)=0,-1E-55,IF(TODAY()&gt;=B$41,(AA47-AA38)*1000,-2E-55))</f>
        <v>-2E-55</v>
      </c>
      <c r="I48" s="152"/>
      <c r="J48" s="432" t="s">
        <v>121</v>
      </c>
      <c r="K48" s="456"/>
      <c r="L48" s="456"/>
      <c r="M48" s="457"/>
      <c r="N48" s="457"/>
      <c r="O48" s="259" t="str">
        <f t="shared" si="3"/>
        <v/>
      </c>
      <c r="P48" s="230"/>
      <c r="Q48" s="169">
        <f t="shared" si="4"/>
        <v>0</v>
      </c>
      <c r="R48" s="350"/>
      <c r="S48" s="368" t="str">
        <f t="shared" si="12"/>
        <v/>
      </c>
      <c r="T48" s="350"/>
      <c r="U48" s="350"/>
      <c r="V48" s="350"/>
      <c r="W48" s="350"/>
      <c r="X48" s="259"/>
      <c r="Y48" s="259" t="str">
        <f>IF(A48=0,"",G48+Y36)</f>
        <v/>
      </c>
      <c r="Z48" s="259" t="str">
        <f>IF(B48=0,"",H48+Z36)</f>
        <v/>
      </c>
      <c r="AA48" s="348"/>
      <c r="AB48" s="274">
        <f t="shared" si="13"/>
        <v>0</v>
      </c>
      <c r="AC48" s="97"/>
      <c r="AD48" s="100"/>
    </row>
    <row r="49" spans="1:54" ht="19" thickBot="1">
      <c r="A49" s="28"/>
      <c r="B49" s="17"/>
      <c r="C49" s="39"/>
      <c r="D49" s="61">
        <f ca="1">TODAY()-C49</f>
        <v>43138</v>
      </c>
      <c r="E49" s="116" t="s">
        <v>33</v>
      </c>
      <c r="F49" s="62">
        <f>G49*0.0005681818</f>
        <v>11.901721687440348</v>
      </c>
      <c r="G49" s="63">
        <f>H49*1.0936113</f>
        <v>20947.030840200001</v>
      </c>
      <c r="H49" s="6">
        <f>INT(SUM($O41:$O47))</f>
        <v>19154</v>
      </c>
      <c r="I49" s="153"/>
      <c r="J49" s="434" t="str">
        <f>IF(R$2=1,"MILES",IF(R$2=2,"YARDS",IF(R$2=3,"METRES","????")))</f>
        <v>MILES</v>
      </c>
      <c r="K49" s="440"/>
      <c r="L49" s="441"/>
      <c r="M49" s="442"/>
      <c r="N49" s="442"/>
      <c r="O49" s="259" t="str">
        <f t="shared" si="3"/>
        <v/>
      </c>
      <c r="P49" s="234"/>
      <c r="Q49" s="169">
        <f t="shared" si="4"/>
        <v>0</v>
      </c>
      <c r="R49" s="351"/>
      <c r="S49" s="368" t="str">
        <f t="shared" si="12"/>
        <v/>
      </c>
      <c r="T49" s="351"/>
      <c r="U49" s="351"/>
      <c r="V49" s="351"/>
      <c r="W49" s="351"/>
      <c r="X49" s="259"/>
      <c r="Y49" s="259" t="str">
        <f>IF(A49=0,"",G49+Y37)</f>
        <v/>
      </c>
      <c r="Z49" s="259" t="str">
        <f>IF(B49=0,"",H49+Z37)</f>
        <v/>
      </c>
      <c r="AA49" s="348"/>
      <c r="AB49" s="274">
        <f t="shared" si="13"/>
        <v>0</v>
      </c>
      <c r="AC49" s="288"/>
      <c r="AD49" s="239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</row>
    <row r="50" spans="1:54" ht="16" thickTop="1">
      <c r="A50" s="1" t="s">
        <v>22</v>
      </c>
      <c r="B50" s="57">
        <f t="shared" ref="B50:B51" si="55">IF(B$3&lt;C50,0,C50)</f>
        <v>0</v>
      </c>
      <c r="C50" s="40">
        <f>C47+1</f>
        <v>43409</v>
      </c>
      <c r="D50" s="22">
        <f t="shared" ca="1" si="1"/>
        <v>-271</v>
      </c>
      <c r="E50" s="118" t="str">
        <f>IF(B50=0,"","Monday")</f>
        <v/>
      </c>
      <c r="F50" s="55"/>
      <c r="G50" s="56"/>
      <c r="H50" s="56"/>
      <c r="I50" s="200"/>
      <c r="J50" s="128"/>
      <c r="K50" s="287" t="str">
        <f t="shared" ref="K50" si="56">IF(R50=0,"",IF(L50="","",J50))</f>
        <v/>
      </c>
      <c r="L50" s="128"/>
      <c r="M50" s="56" t="str">
        <f>IF(R50=0,"",IF(J50="","",L50))</f>
        <v/>
      </c>
      <c r="N50" s="330"/>
      <c r="O50" s="259" t="str">
        <f t="shared" si="3"/>
        <v/>
      </c>
      <c r="P50" s="260">
        <f>H$56</f>
        <v>197929.98168549727</v>
      </c>
      <c r="Q50" s="169">
        <f t="shared" si="4"/>
        <v>122.98798884701669</v>
      </c>
      <c r="R50" s="169">
        <f>IF(R$2=3,H50+G50/1.0936133+F50/0.0006213712,IF(R$2=2,H50*1.0936133+G50+F50/0.0005681818,IF(R$2=1,H50*0.0005681818*1.0936133+G50*0.0005681818+F50,"")))</f>
        <v>0</v>
      </c>
      <c r="S50" s="368" t="str">
        <f t="shared" si="12"/>
        <v/>
      </c>
      <c r="T50" s="169"/>
      <c r="U50" s="169"/>
      <c r="V50" s="170" t="str">
        <f>IF(L50="","",IF(R50=0,"",IF(B50=0,"",IF($R$2=3,R50/L50*60/1000,IF($R$2=2,R50/L50*60/1760,IF($R$2=1,R50/L50*60,""))))))</f>
        <v/>
      </c>
      <c r="W50" s="170" t="str">
        <f>IF(R50=0,"",IF(L50="","",V50*L50))</f>
        <v/>
      </c>
      <c r="X50" s="259">
        <f>F50+X47</f>
        <v>0</v>
      </c>
      <c r="Y50" s="259">
        <f>G50+Y47</f>
        <v>0</v>
      </c>
      <c r="Z50" s="259">
        <f>H50+Z47</f>
        <v>0</v>
      </c>
      <c r="AA50" s="348">
        <f t="shared" si="8"/>
        <v>0</v>
      </c>
      <c r="AB50" s="274">
        <f t="shared" si="13"/>
        <v>0</v>
      </c>
      <c r="AC50" s="97"/>
      <c r="AD50" s="100"/>
    </row>
    <row r="51" spans="1:54" ht="16" thickBot="1">
      <c r="A51" s="1"/>
      <c r="B51" s="5">
        <f t="shared" si="55"/>
        <v>0</v>
      </c>
      <c r="C51" s="38">
        <f t="shared" ref="C51" si="57">C50+1</f>
        <v>43410</v>
      </c>
      <c r="D51" s="7">
        <f t="shared" ca="1" si="1"/>
        <v>-272</v>
      </c>
      <c r="E51" s="114" t="str">
        <f>IF(B51=0,"","Tuesday")</f>
        <v/>
      </c>
      <c r="F51" s="55"/>
      <c r="G51" s="56"/>
      <c r="H51" s="56"/>
      <c r="I51" s="200"/>
      <c r="J51" s="56"/>
      <c r="K51" s="204" t="str">
        <f>IF(R51=0,"",IF(L51="","",J51))</f>
        <v/>
      </c>
      <c r="L51" s="56"/>
      <c r="M51" s="56" t="str">
        <f t="shared" ref="M51" si="58">IF(R51=0,"",IF(J51="","",L51))</f>
        <v/>
      </c>
      <c r="N51" s="329"/>
      <c r="O51" s="259" t="str">
        <f t="shared" si="3"/>
        <v/>
      </c>
      <c r="P51" s="260">
        <f>H$56</f>
        <v>197929.98168549727</v>
      </c>
      <c r="Q51" s="169">
        <f t="shared" si="4"/>
        <v>122.98798884701669</v>
      </c>
      <c r="R51" s="169">
        <f>IF(R$2=3,H51+G51/1.0936133+F51/0.0006213712,IF(R$2=2,H51*1.0936133+G51+F51/0.0005681818,IF(R$2=1,H51*0.0005681818*1.0936133+G51*0.0005681818+F51,"")))</f>
        <v>0</v>
      </c>
      <c r="S51" s="368" t="str">
        <f t="shared" si="12"/>
        <v/>
      </c>
      <c r="T51" s="169"/>
      <c r="U51" s="169"/>
      <c r="V51" s="170" t="str">
        <f>IF(L51="","",IF(R51=0,"",IF(B51=0,"",IF($R$2=3,R51/L51*60/1000,IF($R$2=2,R51/L51*60/1760,IF($R$2=1,R51/L51*60,""))))))</f>
        <v/>
      </c>
      <c r="W51" s="170" t="str">
        <f>IF(R51=0,"",IF(L51="","",V51*L51))</f>
        <v/>
      </c>
      <c r="X51" s="259">
        <f>F51+X50</f>
        <v>0</v>
      </c>
      <c r="Y51" s="259">
        <f>G51+Y50</f>
        <v>0</v>
      </c>
      <c r="Z51" s="259">
        <f>H51+Z50</f>
        <v>0</v>
      </c>
      <c r="AA51" s="348">
        <f t="shared" si="8"/>
        <v>0</v>
      </c>
      <c r="AB51" s="274">
        <f t="shared" si="13"/>
        <v>0</v>
      </c>
      <c r="AC51" s="97"/>
      <c r="AD51" s="100"/>
    </row>
    <row r="52" spans="1:54" ht="17" thickTop="1" thickBot="1">
      <c r="A52" s="29"/>
      <c r="B52" s="16"/>
      <c r="C52" s="42"/>
      <c r="D52" s="60"/>
      <c r="E52" s="113" t="s">
        <v>76</v>
      </c>
      <c r="F52" s="59">
        <f ca="1">G52*0.000568181818</f>
        <v>-6.2137005661934355E-59</v>
      </c>
      <c r="G52" s="19">
        <f ca="1">H52*1.0936113</f>
        <v>-1.0936113000000001E-55</v>
      </c>
      <c r="H52" s="129">
        <f ca="1">IF(SUM(B50:B51)=0,-1E-55,IF(TODAY()&gt;=B50,(AA51-AA47)*1000,-2E-55))</f>
        <v>-9.9999999999999999E-56</v>
      </c>
      <c r="I52" s="137"/>
      <c r="J52" s="422" t="s">
        <v>120</v>
      </c>
      <c r="K52" s="423"/>
      <c r="L52" s="423"/>
      <c r="M52" s="147"/>
      <c r="N52" s="332" t="str">
        <f>IF(R$2=1,"Distance (miles)",IF(R$2=2,"Distance (yds)",IF(R$2=3,"Distance (km)","????")))</f>
        <v>Distance (miles)</v>
      </c>
      <c r="O52" s="259"/>
      <c r="P52" s="234" t="s">
        <v>1</v>
      </c>
      <c r="Q52" s="234" t="s">
        <v>2</v>
      </c>
      <c r="R52" s="234" t="s">
        <v>3</v>
      </c>
      <c r="S52" s="234" t="s">
        <v>4</v>
      </c>
      <c r="T52" s="234" t="s">
        <v>5</v>
      </c>
      <c r="U52" s="234" t="s">
        <v>6</v>
      </c>
      <c r="V52" s="234" t="s">
        <v>7</v>
      </c>
      <c r="W52" s="259"/>
      <c r="X52" s="259"/>
      <c r="Y52" s="259"/>
      <c r="Z52" s="348"/>
      <c r="AA52" s="274"/>
      <c r="AB52" s="226"/>
      <c r="AC52" s="100"/>
    </row>
    <row r="53" spans="1:54" ht="16" thickBot="1">
      <c r="A53" s="28"/>
      <c r="B53" s="17"/>
      <c r="C53" s="39"/>
      <c r="D53" s="61"/>
      <c r="E53" s="116" t="s">
        <v>33</v>
      </c>
      <c r="F53" s="62">
        <f>G53*0.0005681818</f>
        <v>-6.2137003693434006E-59</v>
      </c>
      <c r="G53" s="63">
        <f>H53*1.0936113</f>
        <v>-1.0936113000000001E-55</v>
      </c>
      <c r="H53" s="131">
        <f>IF(SUM($O50:$O51)=0,-1E-55,SUM($O50:$O51))</f>
        <v>-9.9999999999999999E-56</v>
      </c>
      <c r="I53" s="136"/>
      <c r="J53" s="158" t="str">
        <f>'MY STATS'!AF44</f>
        <v/>
      </c>
      <c r="K53" s="159" t="str">
        <f>IF(J53="","x",J53)</f>
        <v>x</v>
      </c>
      <c r="L53" s="206" t="str">
        <f>IF(J53="","",SUMIF(K$5:K$51,K53,M$5:M$51)/1440)</f>
        <v/>
      </c>
      <c r="M53" s="207" t="str">
        <f>IF(J53="","",IF('MY STATS'!$A$15=3,SUMIF(K$5:K$51,J53,R$5:R$51)/1000,SUMIF(K$5:K$51,J53,R$5:R$51)))</f>
        <v/>
      </c>
      <c r="N53" s="333" t="str">
        <f>IF(J53="","",IF('MY STATS'!$A$15=3,SUMIF(J$5:J$51,J53,R$5:R$51)/1000,SUMIF(J$5:J$51,J53,R$5:R$51)))</f>
        <v/>
      </c>
      <c r="O53" s="353" t="s">
        <v>58</v>
      </c>
      <c r="P53" s="234">
        <f t="shared" ref="P53:V53" si="59">COUNTIFS($E$5:$E$51,P52)</f>
        <v>5</v>
      </c>
      <c r="Q53" s="234">
        <f t="shared" si="59"/>
        <v>5</v>
      </c>
      <c r="R53" s="234">
        <f t="shared" si="59"/>
        <v>5</v>
      </c>
      <c r="S53" s="234">
        <f t="shared" si="59"/>
        <v>4</v>
      </c>
      <c r="T53" s="234">
        <f t="shared" si="59"/>
        <v>4</v>
      </c>
      <c r="U53" s="234">
        <f t="shared" si="59"/>
        <v>4</v>
      </c>
      <c r="V53" s="234">
        <f t="shared" si="59"/>
        <v>4</v>
      </c>
      <c r="W53" s="259"/>
      <c r="X53" s="259"/>
      <c r="Y53" s="259"/>
      <c r="Z53" s="348"/>
      <c r="AA53" s="274"/>
      <c r="AB53" s="226"/>
      <c r="AC53" s="100"/>
    </row>
    <row r="54" spans="1:54" ht="17" thickTop="1" thickBot="1">
      <c r="A54" s="11"/>
      <c r="B54" s="11"/>
      <c r="C54" s="11"/>
      <c r="D54" s="11"/>
      <c r="E54" s="11"/>
      <c r="F54" s="11" t="s">
        <v>34</v>
      </c>
      <c r="G54" s="11" t="s">
        <v>35</v>
      </c>
      <c r="H54" s="11" t="s">
        <v>37</v>
      </c>
      <c r="I54" s="135"/>
      <c r="J54" s="160" t="str">
        <f>'MY STATS'!AG44</f>
        <v/>
      </c>
      <c r="K54" s="161" t="str">
        <f t="shared" ref="K54:K59" si="60">IF(J54="","x",J54)</f>
        <v>x</v>
      </c>
      <c r="L54" s="208" t="str">
        <f>IF(J54="","",SUMIF(K$5:K$51,K54,M$5:M$51)/1440)</f>
        <v/>
      </c>
      <c r="M54" s="209" t="str">
        <f>IF(J54="","",IF('MY STATS'!$A$15=3,SUMIF(K$5:K$51,J54,R$5:R$51)/1000,SUMIF(K$5:K$51,J54,R$5:R$51)))</f>
        <v/>
      </c>
      <c r="N54" s="334" t="str">
        <f>IF(J54="","",IF('MY STATS'!$A$15=3,SUMIF(J$5:J$51,J54,R$5:R$51)/1000,SUMIF(J$5:J$51,J54,R$5:R$51)))</f>
        <v/>
      </c>
      <c r="O54" s="353" t="s">
        <v>57</v>
      </c>
      <c r="P54" s="234">
        <f t="shared" ref="P54:V54" ca="1" si="61">COUNTIFS($D$5:$D$51,"&gt;-1",$E$5:$E$51,P52)</f>
        <v>0</v>
      </c>
      <c r="Q54" s="234">
        <f t="shared" ca="1" si="61"/>
        <v>0</v>
      </c>
      <c r="R54" s="234">
        <f t="shared" ca="1" si="61"/>
        <v>0</v>
      </c>
      <c r="S54" s="234">
        <f t="shared" ca="1" si="61"/>
        <v>0</v>
      </c>
      <c r="T54" s="234">
        <f t="shared" ca="1" si="61"/>
        <v>0</v>
      </c>
      <c r="U54" s="234">
        <f t="shared" ca="1" si="61"/>
        <v>0</v>
      </c>
      <c r="V54" s="234">
        <f t="shared" ca="1" si="61"/>
        <v>0</v>
      </c>
      <c r="W54" s="259"/>
      <c r="X54" s="259"/>
      <c r="Y54" s="259"/>
      <c r="Z54" s="348"/>
      <c r="AA54" s="274"/>
      <c r="AB54" s="226"/>
      <c r="AC54" s="100"/>
    </row>
    <row r="55" spans="1:54" ht="16" thickTop="1">
      <c r="A55" s="30"/>
      <c r="B55" s="58"/>
      <c r="C55" s="43"/>
      <c r="D55" s="43"/>
      <c r="E55" s="18" t="s">
        <v>36</v>
      </c>
      <c r="F55" s="88">
        <f>G55*0.000568181818</f>
        <v>0</v>
      </c>
      <c r="G55" s="89">
        <f>H55*1.0936113</f>
        <v>0</v>
      </c>
      <c r="H55" s="132">
        <f>AA$51*1000</f>
        <v>0</v>
      </c>
      <c r="I55" s="138"/>
      <c r="J55" s="160" t="str">
        <f>'MY STATS'!AH44</f>
        <v/>
      </c>
      <c r="K55" s="161" t="str">
        <f t="shared" si="60"/>
        <v>x</v>
      </c>
      <c r="L55" s="208" t="str">
        <f>IF(J55="","",SUMIF(K$5:K$51,K55,M$5:M$51)/1440)</f>
        <v/>
      </c>
      <c r="M55" s="209" t="str">
        <f>IF(J55="","",IF('MY STATS'!$A$15=3,SUMIF(K$5:K$51,J55,R$5:R$51)/1000,SUMIF(K$5:K$51,J55,R$5:R$51)))</f>
        <v/>
      </c>
      <c r="N55" s="334" t="str">
        <f>IF(J55="","",IF('MY STATS'!$A$15=3,SUMIF(J$5:J$51,J55,R$5:R$51)/1000,SUMIF(J$5:J$51,J55,R$5:R$51)))</f>
        <v/>
      </c>
      <c r="O55" s="353" t="s">
        <v>80</v>
      </c>
      <c r="P55" s="234">
        <f t="shared" ref="P55:V55" si="62">COUNTIFS($E$5:$E$51,P52,$R$5:$R$51,"&gt;0")</f>
        <v>0</v>
      </c>
      <c r="Q55" s="234">
        <f t="shared" si="62"/>
        <v>0</v>
      </c>
      <c r="R55" s="234">
        <f t="shared" si="62"/>
        <v>0</v>
      </c>
      <c r="S55" s="234">
        <f t="shared" si="62"/>
        <v>0</v>
      </c>
      <c r="T55" s="234">
        <f t="shared" si="62"/>
        <v>0</v>
      </c>
      <c r="U55" s="234">
        <f t="shared" si="62"/>
        <v>0</v>
      </c>
      <c r="V55" s="234">
        <f t="shared" si="62"/>
        <v>0</v>
      </c>
      <c r="W55" s="259"/>
      <c r="X55" s="259"/>
      <c r="Y55" s="259"/>
      <c r="Z55" s="348"/>
      <c r="AA55" s="274"/>
      <c r="AB55" s="226"/>
      <c r="AC55" s="100"/>
    </row>
    <row r="56" spans="1:54" ht="16" thickBot="1">
      <c r="A56" s="31"/>
      <c r="B56" s="44"/>
      <c r="C56" s="44"/>
      <c r="D56" s="44"/>
      <c r="E56" s="21" t="s">
        <v>51</v>
      </c>
      <c r="F56" s="47">
        <f>G56*0.000568181818</f>
        <v>122.98776392658307</v>
      </c>
      <c r="G56" s="48">
        <f>H56*1.0936113</f>
        <v>216458.46458005288</v>
      </c>
      <c r="H56" s="133">
        <f>SUM(H$53,H40,H31,H22,H49,H13)-1</f>
        <v>197929.98168549727</v>
      </c>
      <c r="I56" s="139"/>
      <c r="J56" s="160" t="str">
        <f>'MY STATS'!AI44</f>
        <v/>
      </c>
      <c r="K56" s="161" t="str">
        <f t="shared" si="60"/>
        <v>x</v>
      </c>
      <c r="L56" s="208" t="str">
        <f>IF(J56="","",SUMIF(K$5:K$51,K56,M$5:M$51)/1440)</f>
        <v/>
      </c>
      <c r="M56" s="209" t="str">
        <f>IF(J56="","",IF('MY STATS'!$A$15=3,SUMIF(K$5:K$51,J56,R$5:R$51)/1000,SUMIF(K$5:K$51,J56,R$5:R$51)))</f>
        <v/>
      </c>
      <c r="N56" s="334" t="str">
        <f>IF(J56="","",IF('MY STATS'!$A$15=3,SUMIF(J$5:J$51,J56,R$5:R$51)/1000,SUMIF(J$5:J$51,J56,R$5:R$51)))</f>
        <v/>
      </c>
      <c r="O56" s="353" t="s">
        <v>136</v>
      </c>
      <c r="P56" s="234"/>
      <c r="Q56" s="234"/>
      <c r="R56" s="234"/>
      <c r="S56" s="234"/>
      <c r="T56" s="234"/>
      <c r="U56" s="234"/>
      <c r="V56" s="234"/>
      <c r="W56" s="259"/>
      <c r="X56" s="259"/>
      <c r="Y56" s="259"/>
      <c r="Z56" s="348"/>
      <c r="AA56" s="274"/>
      <c r="AB56" s="226"/>
      <c r="AC56" s="100"/>
      <c r="AF56" s="15"/>
    </row>
    <row r="57" spans="1:54" ht="17" thickTop="1" thickBot="1">
      <c r="A57" s="49"/>
      <c r="B57" s="49"/>
      <c r="C57" s="49"/>
      <c r="D57" s="49"/>
      <c r="E57" s="49"/>
      <c r="F57" s="49"/>
      <c r="G57" s="49"/>
      <c r="H57" s="49"/>
      <c r="I57" s="140"/>
      <c r="J57" s="160" t="str">
        <f>'MY STATS'!AJ44</f>
        <v/>
      </c>
      <c r="K57" s="161" t="str">
        <f>IF(J57="","x",J57)</f>
        <v>x</v>
      </c>
      <c r="L57" s="208" t="str">
        <f>IF(J57="","",SUMIF(K$5:K$51,K57,M$5:M$51)/1440)</f>
        <v/>
      </c>
      <c r="M57" s="209" t="str">
        <f>IF(J57="","",IF('MY STATS'!$A$15=3,SUMIF(K$5:K$51,J57,R$5:R$51)/1000,SUMIF(K$5:K$51,J57,R$5:R$51)))</f>
        <v/>
      </c>
      <c r="N57" s="334" t="str">
        <f>IF(J57="","",IF('MY STATS'!$A$15=3,SUMIF(J$5:J$51,J57,R$5:R$51)/1000,SUMIF(J$5:J$51,J57,R$5:R$51)))</f>
        <v/>
      </c>
      <c r="O57" s="353" t="s">
        <v>126</v>
      </c>
      <c r="P57" s="339">
        <f t="shared" ref="P57:V57" si="63">SUMIF($E$5:$E$51,P52,$S$5:$S$51)</f>
        <v>0</v>
      </c>
      <c r="Q57" s="339">
        <f t="shared" si="63"/>
        <v>0</v>
      </c>
      <c r="R57" s="339">
        <f t="shared" si="63"/>
        <v>0</v>
      </c>
      <c r="S57" s="339">
        <f t="shared" si="63"/>
        <v>0</v>
      </c>
      <c r="T57" s="339">
        <f t="shared" si="63"/>
        <v>0</v>
      </c>
      <c r="U57" s="339">
        <f t="shared" si="63"/>
        <v>0</v>
      </c>
      <c r="V57" s="339">
        <f t="shared" si="63"/>
        <v>0</v>
      </c>
      <c r="W57" s="230"/>
      <c r="X57" s="230"/>
      <c r="Y57" s="230"/>
      <c r="Z57" s="234"/>
      <c r="AA57" s="230"/>
      <c r="AB57" s="226"/>
      <c r="AC57" s="100"/>
    </row>
    <row r="58" spans="1:54" ht="17" thickTop="1" thickBot="1">
      <c r="A58" s="77">
        <f>A1</f>
        <v>10</v>
      </c>
      <c r="B58" s="78"/>
      <c r="C58" s="79"/>
      <c r="D58" s="71"/>
      <c r="E58" s="72" t="s">
        <v>91</v>
      </c>
      <c r="F58" s="90">
        <f>G58*0.000568181818</f>
        <v>0</v>
      </c>
      <c r="G58" s="91">
        <f>H58*1.0936113</f>
        <v>0</v>
      </c>
      <c r="H58" s="92">
        <f>H$55+G$3</f>
        <v>0</v>
      </c>
      <c r="I58" s="140"/>
      <c r="J58" s="162" t="s">
        <v>112</v>
      </c>
      <c r="K58" s="163"/>
      <c r="L58" s="210">
        <f>L59-SUM(L53:L57)</f>
        <v>0</v>
      </c>
      <c r="M58" s="211">
        <f>(M59-SUM(M53:M57))</f>
        <v>0</v>
      </c>
      <c r="N58" s="335">
        <f>(N59-SUM(N53:N57))</f>
        <v>0</v>
      </c>
      <c r="O58" s="353" t="s">
        <v>127</v>
      </c>
      <c r="P58" s="354">
        <f>IF(COUNTIFS($E$5:$E$51,P52,$L$5:$L$51,"&gt;0")=0,0,(SUMIF($E$5:$E$51,P52,$L$5:$L$51)+IF(SUMIF($E$5:$E$51,P52,$R$5:$R$51)=0,-SUMIF($E$5:$E$51,P52,$L$5:$L$51)))/60)</f>
        <v>0</v>
      </c>
      <c r="Q58" s="354">
        <f t="shared" ref="Q58:V58" si="64">IF(COUNTIFS($E$5:$E$51,Q52,$L$5:$L$51,"&gt;0")=0,0,(SUMIF($E$5:$E$51,Q52,$L$5:$L$51)+IF(SUMIF($E$5:$E$51,Q52,$R$5:$R$51)=0,-SUMIF($E$5:$E$51,Q52,$L$5:$L$51)))/60)</f>
        <v>0</v>
      </c>
      <c r="R58" s="354">
        <f t="shared" si="64"/>
        <v>0</v>
      </c>
      <c r="S58" s="354">
        <f t="shared" si="64"/>
        <v>0</v>
      </c>
      <c r="T58" s="354">
        <f t="shared" si="64"/>
        <v>0</v>
      </c>
      <c r="U58" s="354">
        <f t="shared" si="64"/>
        <v>0</v>
      </c>
      <c r="V58" s="354">
        <f t="shared" si="64"/>
        <v>0</v>
      </c>
      <c r="W58" s="230"/>
      <c r="X58" s="230"/>
      <c r="Y58" s="230"/>
      <c r="Z58" s="234"/>
      <c r="AA58" s="230"/>
      <c r="AB58" s="226"/>
      <c r="AC58" s="100"/>
    </row>
    <row r="59" spans="1:54" ht="17" thickTop="1" thickBot="1">
      <c r="A59" s="80">
        <f>A1</f>
        <v>10</v>
      </c>
      <c r="B59" s="81"/>
      <c r="C59" s="82"/>
      <c r="D59" s="73"/>
      <c r="E59" s="74" t="s">
        <v>63</v>
      </c>
      <c r="F59" s="75">
        <f>G59*0.000568181818</f>
        <v>303.9994440448009</v>
      </c>
      <c r="G59" s="76">
        <f>H59*1.0936113</f>
        <v>535039.02169006201</v>
      </c>
      <c r="H59" s="134">
        <f>VLOOKUP($A$1,'MY STATS'!B$29:K$40,10)</f>
        <v>489240.5754129113</v>
      </c>
      <c r="I59" s="138"/>
      <c r="J59" s="164" t="s">
        <v>68</v>
      </c>
      <c r="K59" s="165" t="str">
        <f t="shared" si="60"/>
        <v>total</v>
      </c>
      <c r="L59" s="212">
        <f>(SUM(L5:L51)-L40)/1440</f>
        <v>0</v>
      </c>
      <c r="M59" s="213">
        <f>IF('MY STATS'!$A$15=3,SUM(R5:R51)/1000,SUM(R5:R51))</f>
        <v>0</v>
      </c>
      <c r="N59" s="336">
        <f>IF('MY STATS'!$A$15=3,SUM(R5:R51)/1000,SUM(R5:R51))</f>
        <v>0</v>
      </c>
      <c r="O59" s="353" t="s">
        <v>111</v>
      </c>
      <c r="P59" s="235">
        <f>IFERROR(IF('MY STATS'!$A15=1,P57/P58,IF('MY STATS'!$A15=2,P57/1760/P58,IF('MY STATS'!$A15=3,P57/1000/P58,0))),0)</f>
        <v>0</v>
      </c>
      <c r="Q59" s="235">
        <f>IFERROR(IF('MY STATS'!$A15=1,Q57/Q58,IF('MY STATS'!$A15=2,Q57/1760/Q58,IF('MY STATS'!$A15=3,Q57/1000/Q58,0))),0)</f>
        <v>0</v>
      </c>
      <c r="R59" s="235">
        <f>IFERROR(IF('MY STATS'!$A15=1,R57/R58,IF('MY STATS'!$A15=2,R57/1760/R58,IF('MY STATS'!$A15=3,R57/1000/R58,0))),0)</f>
        <v>0</v>
      </c>
      <c r="S59" s="235">
        <f>IFERROR(IF('MY STATS'!$A15=1,S57/S58,IF('MY STATS'!$A15=2,S57/1760/S58,IF('MY STATS'!$A15=3,S57/1000/S58,0))),0)</f>
        <v>0</v>
      </c>
      <c r="T59" s="235">
        <f>IFERROR(IF('MY STATS'!$A15=1,T57/T58,IF('MY STATS'!$A15=2,T57/1760/T58,IF('MY STATS'!$A15=3,T57/1000/T58,0))),0)</f>
        <v>0</v>
      </c>
      <c r="U59" s="235">
        <f>IFERROR(IF('MY STATS'!$A15=1,U57/U58,IF('MY STATS'!$A15=2,U57/1760/U58,IF('MY STATS'!$A15=3,U57/1000/U58,0))),0)</f>
        <v>0</v>
      </c>
      <c r="V59" s="235">
        <f>IFERROR(IF('MY STATS'!$A15=1,V57/V58,IF('MY STATS'!$A15=2,V57/1760/V58,IF('MY STATS'!$A15=3,V57/1000/V58,0))),0)</f>
        <v>0</v>
      </c>
      <c r="W59" s="230"/>
      <c r="X59" s="230"/>
      <c r="Y59" s="230"/>
      <c r="Z59" s="234"/>
      <c r="AA59" s="230"/>
      <c r="AB59" s="226"/>
      <c r="AC59" s="100"/>
    </row>
    <row r="60" spans="1:54" ht="16" thickTop="1"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100"/>
    </row>
    <row r="61" spans="1:54"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100"/>
    </row>
    <row r="62" spans="1:54" ht="6.75" customHeight="1"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100"/>
    </row>
    <row r="63" spans="1:54"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100"/>
    </row>
    <row r="64" spans="1:54">
      <c r="O64" s="100"/>
      <c r="P64" s="100"/>
      <c r="Q64" s="100"/>
      <c r="R64" s="100"/>
      <c r="S64" s="97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</row>
    <row r="65" spans="19:27">
      <c r="S65" s="97"/>
      <c r="AA65" s="3"/>
    </row>
    <row r="66" spans="19:27" s="3" customFormat="1">
      <c r="S66" s="97"/>
    </row>
    <row r="67" spans="19:27">
      <c r="AA67" s="3"/>
    </row>
    <row r="68" spans="19:27">
      <c r="AA68" s="3"/>
    </row>
  </sheetData>
  <sheetProtection sheet="1" objects="1" scenarios="1" selectLockedCells="1"/>
  <mergeCells count="8">
    <mergeCell ref="J49:N49"/>
    <mergeCell ref="J52:L52"/>
    <mergeCell ref="J12:N12"/>
    <mergeCell ref="J13:N13"/>
    <mergeCell ref="J21:N22"/>
    <mergeCell ref="J30:N30"/>
    <mergeCell ref="J31:N31"/>
    <mergeCell ref="J48:N48"/>
  </mergeCells>
  <conditionalFormatting sqref="B14:B20 B23:B29 B49:B51 B40:B47 B53 B31:B38 D3 B5:B11">
    <cfRule type="cellIs" dxfId="3050" priority="1607" stopIfTrue="1" operator="notBetween">
      <formula>$B$2</formula>
      <formula>$B$3</formula>
    </cfRule>
  </conditionalFormatting>
  <conditionalFormatting sqref="B14:B20 B23:B29 B49:B51 B40:B47 B53 B31:B38 D3 B5:B11">
    <cfRule type="cellIs" dxfId="3049" priority="1608" operator="greaterThan">
      <formula>$E$3</formula>
    </cfRule>
    <cfRule type="cellIs" dxfId="3048" priority="1609" operator="equal">
      <formula>$E$3</formula>
    </cfRule>
    <cfRule type="cellIs" dxfId="3047" priority="1610" operator="lessThan">
      <formula>$E$3</formula>
    </cfRule>
  </conditionalFormatting>
  <conditionalFormatting sqref="F58:H58 F55:H55">
    <cfRule type="expression" dxfId="3046" priority="1605">
      <formula>$F55&gt;=$F56</formula>
    </cfRule>
  </conditionalFormatting>
  <conditionalFormatting sqref="F5:H10 F14:G20 F23:G29 F38:H38 F41:H47 F11:G11 F32:G37">
    <cfRule type="cellIs" dxfId="3045" priority="1595" stopIfTrue="1" operator="lessThan">
      <formula>0</formula>
    </cfRule>
  </conditionalFormatting>
  <conditionalFormatting sqref="C32:C38 C41:C47 C50:C51 C14:C20 C23:C29 C5:C11">
    <cfRule type="cellIs" dxfId="3044" priority="1600" stopIfTrue="1" operator="notBetween">
      <formula>$B$2</formula>
      <formula>$B$3</formula>
    </cfRule>
  </conditionalFormatting>
  <conditionalFormatting sqref="C41:C47 C50:C51 C32:C38 C14:C20 C23:C29 C5:C11">
    <cfRule type="cellIs" dxfId="3043" priority="1601" operator="greaterThan">
      <formula>$E$3</formula>
    </cfRule>
    <cfRule type="cellIs" dxfId="3042" priority="1602" operator="equal">
      <formula>$E$3</formula>
    </cfRule>
    <cfRule type="cellIs" dxfId="3041" priority="1603" operator="lessThan">
      <formula>$E$3</formula>
    </cfRule>
  </conditionalFormatting>
  <conditionalFormatting sqref="F14:G20 F23:G29 F38:H38 F41:H47 F32:G37">
    <cfRule type="expression" dxfId="3040" priority="1599">
      <formula>$C14&lt;$E$3</formula>
    </cfRule>
  </conditionalFormatting>
  <conditionalFormatting sqref="F5:H10 F14:G20 F23:G29 F38:H38 F41:H47 F11:G11 F32:G37">
    <cfRule type="expression" dxfId="3039" priority="1596">
      <formula>$C5=$E$3</formula>
    </cfRule>
    <cfRule type="expression" dxfId="3038" priority="1597">
      <formula>$C5&lt;$E$3</formula>
    </cfRule>
    <cfRule type="cellIs" dxfId="3037" priority="1598" operator="equal">
      <formula>0</formula>
    </cfRule>
    <cfRule type="expression" dxfId="3036" priority="1604">
      <formula>$C5&gt;$E$3</formula>
    </cfRule>
  </conditionalFormatting>
  <conditionalFormatting sqref="F12:G12">
    <cfRule type="expression" dxfId="3035" priority="1594">
      <formula>$F12&gt;=$F13</formula>
    </cfRule>
  </conditionalFormatting>
  <conditionalFormatting sqref="F21:G21">
    <cfRule type="expression" dxfId="3034" priority="1593">
      <formula>$F21&gt;=$F22</formula>
    </cfRule>
  </conditionalFormatting>
  <conditionalFormatting sqref="F39:H39">
    <cfRule type="expression" dxfId="3033" priority="1592">
      <formula>$F39&gt;=$F40</formula>
    </cfRule>
  </conditionalFormatting>
  <conditionalFormatting sqref="F30:G30">
    <cfRule type="expression" dxfId="3032" priority="1591">
      <formula>$F30&gt;=$F31</formula>
    </cfRule>
  </conditionalFormatting>
  <conditionalFormatting sqref="F48:H48">
    <cfRule type="expression" dxfId="3031" priority="1589" stopIfTrue="1">
      <formula>$H$48=-1E-55</formula>
    </cfRule>
    <cfRule type="expression" dxfId="3030" priority="1590">
      <formula>$F48&gt;=$F49</formula>
    </cfRule>
  </conditionalFormatting>
  <conditionalFormatting sqref="F14:G20 F23:G29 F38:H38 F41:H47 F32:G37">
    <cfRule type="expression" dxfId="3029" priority="1588">
      <formula>$C14&lt;$E$3</formula>
    </cfRule>
  </conditionalFormatting>
  <conditionalFormatting sqref="F14:G20 F5:H10 F23:G29 F38:H38 F41:H47 F11:G11 F32:G37">
    <cfRule type="expression" dxfId="3028" priority="1584">
      <formula>$C5=$E$3</formula>
    </cfRule>
    <cfRule type="expression" dxfId="3027" priority="1585">
      <formula>$C5&lt;$E$3</formula>
    </cfRule>
    <cfRule type="cellIs" dxfId="3026" priority="1586" operator="equal">
      <formula>0</formula>
    </cfRule>
    <cfRule type="expression" dxfId="3025" priority="1587">
      <formula>$C5&gt;$E$3</formula>
    </cfRule>
  </conditionalFormatting>
  <conditionalFormatting sqref="F12:G12">
    <cfRule type="expression" dxfId="3024" priority="1583">
      <formula>$F12&gt;=$F13</formula>
    </cfRule>
  </conditionalFormatting>
  <conditionalFormatting sqref="F21:G21">
    <cfRule type="expression" dxfId="3023" priority="1582">
      <formula>$F21&gt;=$F22</formula>
    </cfRule>
  </conditionalFormatting>
  <conditionalFormatting sqref="F39:H39">
    <cfRule type="expression" dxfId="3022" priority="1581">
      <formula>$F39&gt;=$F40</formula>
    </cfRule>
  </conditionalFormatting>
  <conditionalFormatting sqref="F30:G30">
    <cfRule type="expression" dxfId="3021" priority="1580">
      <formula>$F30&gt;=$F31</formula>
    </cfRule>
  </conditionalFormatting>
  <conditionalFormatting sqref="F48:H48">
    <cfRule type="expression" dxfId="3020" priority="1578" stopIfTrue="1">
      <formula>$E$41=""</formula>
    </cfRule>
    <cfRule type="expression" dxfId="3019" priority="1579">
      <formula>$F48&gt;=$F49</formula>
    </cfRule>
  </conditionalFormatting>
  <conditionalFormatting sqref="F41:H47">
    <cfRule type="expression" dxfId="3018" priority="1577">
      <formula>$E41=""</formula>
    </cfRule>
  </conditionalFormatting>
  <conditionalFormatting sqref="F47:H47">
    <cfRule type="expression" dxfId="3017" priority="1576">
      <formula>$E$46=""</formula>
    </cfRule>
  </conditionalFormatting>
  <conditionalFormatting sqref="F45:H45">
    <cfRule type="expression" dxfId="3016" priority="1575">
      <formula>$E45=""</formula>
    </cfRule>
  </conditionalFormatting>
  <conditionalFormatting sqref="F5:H10 F11:G11">
    <cfRule type="expression" dxfId="3015" priority="1574">
      <formula>$C5&lt;$E$3</formula>
    </cfRule>
  </conditionalFormatting>
  <conditionalFormatting sqref="F5:H10 F11:G11">
    <cfRule type="expression" dxfId="3014" priority="1573">
      <formula>$E5=""</formula>
    </cfRule>
  </conditionalFormatting>
  <conditionalFormatting sqref="F5:H10 F11:G11">
    <cfRule type="expression" dxfId="3013" priority="1569">
      <formula>$C5=$E$3</formula>
    </cfRule>
    <cfRule type="expression" dxfId="3012" priority="1570">
      <formula>$C5&lt;$E$3</formula>
    </cfRule>
    <cfRule type="cellIs" dxfId="3011" priority="1571" operator="equal">
      <formula>0</formula>
    </cfRule>
    <cfRule type="expression" dxfId="3010" priority="1572">
      <formula>$C5&gt;$E$3</formula>
    </cfRule>
  </conditionalFormatting>
  <conditionalFormatting sqref="F5:H10 F11:G11">
    <cfRule type="expression" dxfId="3009" priority="1568">
      <formula>$C5&lt;$E$3</formula>
    </cfRule>
  </conditionalFormatting>
  <conditionalFormatting sqref="F5:H10 F11:G11">
    <cfRule type="expression" dxfId="3008" priority="1567">
      <formula>$E5=""</formula>
    </cfRule>
  </conditionalFormatting>
  <conditionalFormatting sqref="F14:G20">
    <cfRule type="expression" dxfId="3007" priority="1566">
      <formula>$C14&lt;$E$3</formula>
    </cfRule>
  </conditionalFormatting>
  <conditionalFormatting sqref="F14:G20">
    <cfRule type="expression" dxfId="3006" priority="1562">
      <formula>$C14=$E$3</formula>
    </cfRule>
    <cfRule type="expression" dxfId="3005" priority="1563">
      <formula>$C14&lt;$E$3</formula>
    </cfRule>
    <cfRule type="cellIs" dxfId="3004" priority="1564" operator="equal">
      <formula>0</formula>
    </cfRule>
    <cfRule type="expression" dxfId="3003" priority="1565">
      <formula>$C14&gt;$E$3</formula>
    </cfRule>
  </conditionalFormatting>
  <conditionalFormatting sqref="F5:H10 F11:G11">
    <cfRule type="expression" dxfId="3002" priority="1561">
      <formula>$C5&lt;$E$3</formula>
    </cfRule>
  </conditionalFormatting>
  <conditionalFormatting sqref="F5:H10 F11:G11">
    <cfRule type="expression" dxfId="3001" priority="1557">
      <formula>$C5=$E$3</formula>
    </cfRule>
    <cfRule type="expression" dxfId="3000" priority="1558">
      <formula>$C5&lt;$E$3</formula>
    </cfRule>
    <cfRule type="cellIs" dxfId="2999" priority="1559" operator="equal">
      <formula>0</formula>
    </cfRule>
    <cfRule type="expression" dxfId="2998" priority="1560">
      <formula>$C5&gt;$E$3</formula>
    </cfRule>
  </conditionalFormatting>
  <conditionalFormatting sqref="F5:H10 F11:G11">
    <cfRule type="expression" dxfId="2997" priority="1556">
      <formula>$E5=""</formula>
    </cfRule>
  </conditionalFormatting>
  <conditionalFormatting sqref="F5:H10 F11:G11">
    <cfRule type="expression" dxfId="2996" priority="1555">
      <formula>$C5&lt;$E$3</formula>
    </cfRule>
  </conditionalFormatting>
  <conditionalFormatting sqref="F5:H10 F11:G11">
    <cfRule type="expression" dxfId="2995" priority="1554">
      <formula>$E5=""</formula>
    </cfRule>
  </conditionalFormatting>
  <conditionalFormatting sqref="F5:H10 F11:G11">
    <cfRule type="expression" dxfId="2994" priority="1553">
      <formula>$E5=""</formula>
    </cfRule>
  </conditionalFormatting>
  <conditionalFormatting sqref="F5:H10 F11:G11">
    <cfRule type="expression" dxfId="2993" priority="1552">
      <formula>$C5&lt;$E$3</formula>
    </cfRule>
  </conditionalFormatting>
  <conditionalFormatting sqref="F5:H10 F11:G11">
    <cfRule type="expression" dxfId="2992" priority="1551">
      <formula>$E5=""</formula>
    </cfRule>
  </conditionalFormatting>
  <conditionalFormatting sqref="F5:H10 F11:G11">
    <cfRule type="expression" dxfId="2991" priority="1550">
      <formula>$C5&lt;$E$3</formula>
    </cfRule>
  </conditionalFormatting>
  <conditionalFormatting sqref="F5:H10 F11:G11">
    <cfRule type="expression" dxfId="2990" priority="1549">
      <formula>$E5=""</formula>
    </cfRule>
  </conditionalFormatting>
  <conditionalFormatting sqref="F5:H10 F11:G11">
    <cfRule type="expression" dxfId="2989" priority="1548">
      <formula>$C5&lt;$E$3</formula>
    </cfRule>
  </conditionalFormatting>
  <conditionalFormatting sqref="F5:H10 F11:G11">
    <cfRule type="expression" dxfId="2988" priority="1547">
      <formula>$E5=""</formula>
    </cfRule>
  </conditionalFormatting>
  <conditionalFormatting sqref="F14:G20">
    <cfRule type="expression" dxfId="2987" priority="1546">
      <formula>$C14&lt;$E$3</formula>
    </cfRule>
  </conditionalFormatting>
  <conditionalFormatting sqref="F14:G20">
    <cfRule type="expression" dxfId="2986" priority="1542">
      <formula>$C14=$E$3</formula>
    </cfRule>
    <cfRule type="expression" dxfId="2985" priority="1543">
      <formula>$C14&lt;$E$3</formula>
    </cfRule>
    <cfRule type="cellIs" dxfId="2984" priority="1544" operator="equal">
      <formula>0</formula>
    </cfRule>
    <cfRule type="expression" dxfId="2983" priority="1545">
      <formula>$C14&gt;$E$3</formula>
    </cfRule>
  </conditionalFormatting>
  <conditionalFormatting sqref="F14:G20">
    <cfRule type="expression" dxfId="2982" priority="1541">
      <formula>$E14=""</formula>
    </cfRule>
  </conditionalFormatting>
  <conditionalFormatting sqref="F14:G20">
    <cfRule type="expression" dxfId="2981" priority="1540">
      <formula>$C14&lt;$E$3</formula>
    </cfRule>
  </conditionalFormatting>
  <conditionalFormatting sqref="F14:G20">
    <cfRule type="expression" dxfId="2980" priority="1539">
      <formula>$E14=""</formula>
    </cfRule>
  </conditionalFormatting>
  <conditionalFormatting sqref="F14:G20">
    <cfRule type="expression" dxfId="2979" priority="1538">
      <formula>$E14=""</formula>
    </cfRule>
  </conditionalFormatting>
  <conditionalFormatting sqref="F14:G20">
    <cfRule type="expression" dxfId="2978" priority="1537">
      <formula>$C14&lt;$E$3</formula>
    </cfRule>
  </conditionalFormatting>
  <conditionalFormatting sqref="F14:G20">
    <cfRule type="expression" dxfId="2977" priority="1536">
      <formula>$E14=""</formula>
    </cfRule>
  </conditionalFormatting>
  <conditionalFormatting sqref="F14:G20">
    <cfRule type="expression" dxfId="2976" priority="1535">
      <formula>$C14&lt;$E$3</formula>
    </cfRule>
  </conditionalFormatting>
  <conditionalFormatting sqref="F14:G20">
    <cfRule type="expression" dxfId="2975" priority="1534">
      <formula>$E14=""</formula>
    </cfRule>
  </conditionalFormatting>
  <conditionalFormatting sqref="F14:G20">
    <cfRule type="expression" dxfId="2974" priority="1533">
      <formula>$C14&lt;$E$3</formula>
    </cfRule>
  </conditionalFormatting>
  <conditionalFormatting sqref="F14:G20">
    <cfRule type="expression" dxfId="2973" priority="1532">
      <formula>$E14=""</formula>
    </cfRule>
  </conditionalFormatting>
  <conditionalFormatting sqref="F23:G29">
    <cfRule type="expression" dxfId="2972" priority="1531">
      <formula>$C23&lt;$E$3</formula>
    </cfRule>
  </conditionalFormatting>
  <conditionalFormatting sqref="F23:G29">
    <cfRule type="expression" dxfId="2971" priority="1527">
      <formula>$C23=$E$3</formula>
    </cfRule>
    <cfRule type="expression" dxfId="2970" priority="1528">
      <formula>$C23&lt;$E$3</formula>
    </cfRule>
    <cfRule type="cellIs" dxfId="2969" priority="1529" operator="equal">
      <formula>0</formula>
    </cfRule>
    <cfRule type="expression" dxfId="2968" priority="1530">
      <formula>$C23&gt;$E$3</formula>
    </cfRule>
  </conditionalFormatting>
  <conditionalFormatting sqref="F23:G29">
    <cfRule type="expression" dxfId="2967" priority="1526">
      <formula>$C23&lt;$E$3</formula>
    </cfRule>
  </conditionalFormatting>
  <conditionalFormatting sqref="F23:G29">
    <cfRule type="expression" dxfId="2966" priority="1522">
      <formula>$C23=$E$3</formula>
    </cfRule>
    <cfRule type="expression" dxfId="2965" priority="1523">
      <formula>$C23&lt;$E$3</formula>
    </cfRule>
    <cfRule type="cellIs" dxfId="2964" priority="1524" operator="equal">
      <formula>0</formula>
    </cfRule>
    <cfRule type="expression" dxfId="2963" priority="1525">
      <formula>$C23&gt;$E$3</formula>
    </cfRule>
  </conditionalFormatting>
  <conditionalFormatting sqref="F23:G29">
    <cfRule type="expression" dxfId="2962" priority="1521">
      <formula>$E23=""</formula>
    </cfRule>
  </conditionalFormatting>
  <conditionalFormatting sqref="F23:G29">
    <cfRule type="expression" dxfId="2961" priority="1520">
      <formula>$C23&lt;$E$3</formula>
    </cfRule>
  </conditionalFormatting>
  <conditionalFormatting sqref="F23:G29">
    <cfRule type="expression" dxfId="2960" priority="1519">
      <formula>$E23=""</formula>
    </cfRule>
  </conditionalFormatting>
  <conditionalFormatting sqref="F23:G29">
    <cfRule type="expression" dxfId="2959" priority="1518">
      <formula>$E23=""</formula>
    </cfRule>
  </conditionalFormatting>
  <conditionalFormatting sqref="F23:G29">
    <cfRule type="expression" dxfId="2958" priority="1517">
      <formula>$C23&lt;$E$3</formula>
    </cfRule>
  </conditionalFormatting>
  <conditionalFormatting sqref="F23:G29">
    <cfRule type="expression" dxfId="2957" priority="1516">
      <formula>$E23=""</formula>
    </cfRule>
  </conditionalFormatting>
  <conditionalFormatting sqref="F23:G29">
    <cfRule type="expression" dxfId="2956" priority="1515">
      <formula>$C23&lt;$E$3</formula>
    </cfRule>
  </conditionalFormatting>
  <conditionalFormatting sqref="F23:G29">
    <cfRule type="expression" dxfId="2955" priority="1514">
      <formula>$E23=""</formula>
    </cfRule>
  </conditionalFormatting>
  <conditionalFormatting sqref="F23:G29">
    <cfRule type="expression" dxfId="2954" priority="1513">
      <formula>$C23&lt;$E$3</formula>
    </cfRule>
  </conditionalFormatting>
  <conditionalFormatting sqref="F23:G29">
    <cfRule type="expression" dxfId="2953" priority="1512">
      <formula>$E23=""</formula>
    </cfRule>
  </conditionalFormatting>
  <conditionalFormatting sqref="F38:H38 F32:G37">
    <cfRule type="expression" dxfId="2952" priority="1511">
      <formula>$C32&lt;$E$3</formula>
    </cfRule>
  </conditionalFormatting>
  <conditionalFormatting sqref="F38:H38 F32:G37">
    <cfRule type="expression" dxfId="2951" priority="1507">
      <formula>$C32=$E$3</formula>
    </cfRule>
    <cfRule type="expression" dxfId="2950" priority="1508">
      <formula>$C32&lt;$E$3</formula>
    </cfRule>
    <cfRule type="cellIs" dxfId="2949" priority="1509" operator="equal">
      <formula>0</formula>
    </cfRule>
    <cfRule type="expression" dxfId="2948" priority="1510">
      <formula>$C32&gt;$E$3</formula>
    </cfRule>
  </conditionalFormatting>
  <conditionalFormatting sqref="F38:H38 F32:G37">
    <cfRule type="expression" dxfId="2947" priority="1506">
      <formula>$C32&lt;$E$3</formula>
    </cfRule>
  </conditionalFormatting>
  <conditionalFormatting sqref="F38:H38 F32:G37">
    <cfRule type="expression" dxfId="2946" priority="1502">
      <formula>$C32=$E$3</formula>
    </cfRule>
    <cfRule type="expression" dxfId="2945" priority="1503">
      <formula>$C32&lt;$E$3</formula>
    </cfRule>
    <cfRule type="cellIs" dxfId="2944" priority="1504" operator="equal">
      <formula>0</formula>
    </cfRule>
    <cfRule type="expression" dxfId="2943" priority="1505">
      <formula>$C32&gt;$E$3</formula>
    </cfRule>
  </conditionalFormatting>
  <conditionalFormatting sqref="F38:H38 F32:G37">
    <cfRule type="expression" dxfId="2942" priority="1501">
      <formula>$E32=""</formula>
    </cfRule>
  </conditionalFormatting>
  <conditionalFormatting sqref="F38:H38 F32:G37">
    <cfRule type="expression" dxfId="2941" priority="1500">
      <formula>$C32&lt;$E$3</formula>
    </cfRule>
  </conditionalFormatting>
  <conditionalFormatting sqref="F38:H38 F32:G37">
    <cfRule type="expression" dxfId="2940" priority="1499">
      <formula>$E32=""</formula>
    </cfRule>
  </conditionalFormatting>
  <conditionalFormatting sqref="F38:H38 F32:G37">
    <cfRule type="expression" dxfId="2939" priority="1498">
      <formula>$E32=""</formula>
    </cfRule>
  </conditionalFormatting>
  <conditionalFormatting sqref="F38:H38 F32:G37">
    <cfRule type="expression" dxfId="2938" priority="1497">
      <formula>$C32&lt;$E$3</formula>
    </cfRule>
  </conditionalFormatting>
  <conditionalFormatting sqref="F38:H38 F32:G37">
    <cfRule type="expression" dxfId="2937" priority="1496">
      <formula>$E32=""</formula>
    </cfRule>
  </conditionalFormatting>
  <conditionalFormatting sqref="F38:H38 F32:G37">
    <cfRule type="expression" dxfId="2936" priority="1495">
      <formula>$C32&lt;$E$3</formula>
    </cfRule>
  </conditionalFormatting>
  <conditionalFormatting sqref="F38:H38 F32:G37">
    <cfRule type="expression" dxfId="2935" priority="1494">
      <formula>$E32=""</formula>
    </cfRule>
  </conditionalFormatting>
  <conditionalFormatting sqref="F38:H38 F32:G37">
    <cfRule type="expression" dxfId="2934" priority="1493">
      <formula>$C32&lt;$E$3</formula>
    </cfRule>
  </conditionalFormatting>
  <conditionalFormatting sqref="F38:H38 F32:G37">
    <cfRule type="expression" dxfId="2933" priority="1492">
      <formula>$E32=""</formula>
    </cfRule>
  </conditionalFormatting>
  <conditionalFormatting sqref="F41:H47">
    <cfRule type="expression" dxfId="2932" priority="1491">
      <formula>$C41&lt;$E$3</formula>
    </cfRule>
  </conditionalFormatting>
  <conditionalFormatting sqref="F41:H47">
    <cfRule type="expression" dxfId="2931" priority="1487">
      <formula>$C41=$E$3</formula>
    </cfRule>
    <cfRule type="expression" dxfId="2930" priority="1488">
      <formula>$C41&lt;$E$3</formula>
    </cfRule>
    <cfRule type="cellIs" dxfId="2929" priority="1489" operator="equal">
      <formula>0</formula>
    </cfRule>
    <cfRule type="expression" dxfId="2928" priority="1490">
      <formula>$C41&gt;$E$3</formula>
    </cfRule>
  </conditionalFormatting>
  <conditionalFormatting sqref="F41:H47">
    <cfRule type="expression" dxfId="2927" priority="1486">
      <formula>$C41&lt;$E$3</formula>
    </cfRule>
  </conditionalFormatting>
  <conditionalFormatting sqref="F41:H47">
    <cfRule type="expression" dxfId="2926" priority="1482">
      <formula>$C41=$E$3</formula>
    </cfRule>
    <cfRule type="expression" dxfId="2925" priority="1483">
      <formula>$C41&lt;$E$3</formula>
    </cfRule>
    <cfRule type="cellIs" dxfId="2924" priority="1484" operator="equal">
      <formula>0</formula>
    </cfRule>
    <cfRule type="expression" dxfId="2923" priority="1485">
      <formula>$C41&gt;$E$3</formula>
    </cfRule>
  </conditionalFormatting>
  <conditionalFormatting sqref="F41:H47">
    <cfRule type="expression" dxfId="2922" priority="1481">
      <formula>$E41=""</formula>
    </cfRule>
  </conditionalFormatting>
  <conditionalFormatting sqref="F41:H47">
    <cfRule type="expression" dxfId="2921" priority="1480">
      <formula>$C41&lt;$E$3</formula>
    </cfRule>
  </conditionalFormatting>
  <conditionalFormatting sqref="F41:H47">
    <cfRule type="expression" dxfId="2920" priority="1479">
      <formula>$E41=""</formula>
    </cfRule>
  </conditionalFormatting>
  <conditionalFormatting sqref="F41:H47">
    <cfRule type="expression" dxfId="2919" priority="1478">
      <formula>$E41=""</formula>
    </cfRule>
  </conditionalFormatting>
  <conditionalFormatting sqref="F41:H47">
    <cfRule type="expression" dxfId="2918" priority="1477">
      <formula>$C41&lt;$E$3</formula>
    </cfRule>
  </conditionalFormatting>
  <conditionalFormatting sqref="F41:H47">
    <cfRule type="expression" dxfId="2917" priority="1476">
      <formula>$E41=""</formula>
    </cfRule>
  </conditionalFormatting>
  <conditionalFormatting sqref="F41:H47">
    <cfRule type="expression" dxfId="2916" priority="1475">
      <formula>$C41&lt;$E$3</formula>
    </cfRule>
  </conditionalFormatting>
  <conditionalFormatting sqref="F41:H47">
    <cfRule type="expression" dxfId="2915" priority="1474">
      <formula>$E41=""</formula>
    </cfRule>
  </conditionalFormatting>
  <conditionalFormatting sqref="F41:H47">
    <cfRule type="expression" dxfId="2914" priority="1473">
      <formula>$C41&lt;$E$3</formula>
    </cfRule>
  </conditionalFormatting>
  <conditionalFormatting sqref="F41:H47">
    <cfRule type="expression" dxfId="2913" priority="1472">
      <formula>$E41=""</formula>
    </cfRule>
  </conditionalFormatting>
  <conditionalFormatting sqref="F50:H51">
    <cfRule type="cellIs" dxfId="2912" priority="1471" stopIfTrue="1" operator="lessThan">
      <formula>0</formula>
    </cfRule>
  </conditionalFormatting>
  <conditionalFormatting sqref="F50:H51">
    <cfRule type="expression" dxfId="2911" priority="1470">
      <formula>$C50&lt;$E$3</formula>
    </cfRule>
  </conditionalFormatting>
  <conditionalFormatting sqref="F50:H51">
    <cfRule type="expression" dxfId="2910" priority="1466">
      <formula>$C50=$E$3</formula>
    </cfRule>
    <cfRule type="expression" dxfId="2909" priority="1467">
      <formula>$C50&lt;$E$3</formula>
    </cfRule>
    <cfRule type="cellIs" dxfId="2908" priority="1468" operator="equal">
      <formula>0</formula>
    </cfRule>
    <cfRule type="expression" dxfId="2907" priority="1469">
      <formula>$C50&gt;$E$3</formula>
    </cfRule>
  </conditionalFormatting>
  <conditionalFormatting sqref="F50:H51">
    <cfRule type="expression" dxfId="2906" priority="1465">
      <formula>$C50&lt;$E$3</formula>
    </cfRule>
  </conditionalFormatting>
  <conditionalFormatting sqref="F50:H51">
    <cfRule type="expression" dxfId="2905" priority="1461">
      <formula>$C50=$E$3</formula>
    </cfRule>
    <cfRule type="expression" dxfId="2904" priority="1462">
      <formula>$C50&lt;$E$3</formula>
    </cfRule>
    <cfRule type="cellIs" dxfId="2903" priority="1463" operator="equal">
      <formula>0</formula>
    </cfRule>
    <cfRule type="expression" dxfId="2902" priority="1464">
      <formula>$C50&gt;$E$3</formula>
    </cfRule>
  </conditionalFormatting>
  <conditionalFormatting sqref="F50:H51">
    <cfRule type="expression" dxfId="2901" priority="1460">
      <formula>$C50&lt;$E$3</formula>
    </cfRule>
  </conditionalFormatting>
  <conditionalFormatting sqref="F50:H51">
    <cfRule type="expression" dxfId="2900" priority="1456">
      <formula>$C50=$E$3</formula>
    </cfRule>
    <cfRule type="expression" dxfId="2899" priority="1457">
      <formula>$C50&lt;$E$3</formula>
    </cfRule>
    <cfRule type="cellIs" dxfId="2898" priority="1458" operator="equal">
      <formula>0</formula>
    </cfRule>
    <cfRule type="expression" dxfId="2897" priority="1459">
      <formula>$C50&gt;$E$3</formula>
    </cfRule>
  </conditionalFormatting>
  <conditionalFormatting sqref="F50:H51">
    <cfRule type="expression" dxfId="2896" priority="1455">
      <formula>$C50&lt;$E$3</formula>
    </cfRule>
  </conditionalFormatting>
  <conditionalFormatting sqref="F50:H51">
    <cfRule type="expression" dxfId="2895" priority="1451">
      <formula>$C50=$E$3</formula>
    </cfRule>
    <cfRule type="expression" dxfId="2894" priority="1452">
      <formula>$C50&lt;$E$3</formula>
    </cfRule>
    <cfRule type="cellIs" dxfId="2893" priority="1453" operator="equal">
      <formula>0</formula>
    </cfRule>
    <cfRule type="expression" dxfId="2892" priority="1454">
      <formula>$C50&gt;$E$3</formula>
    </cfRule>
  </conditionalFormatting>
  <conditionalFormatting sqref="F50:H51">
    <cfRule type="expression" dxfId="2891" priority="1450">
      <formula>$E50=""</formula>
    </cfRule>
  </conditionalFormatting>
  <conditionalFormatting sqref="F50:H51">
    <cfRule type="expression" dxfId="2890" priority="1449">
      <formula>$C50&lt;$E$3</formula>
    </cfRule>
  </conditionalFormatting>
  <conditionalFormatting sqref="F50:H51">
    <cfRule type="expression" dxfId="2889" priority="1448">
      <formula>$E50=""</formula>
    </cfRule>
  </conditionalFormatting>
  <conditionalFormatting sqref="F50:H51">
    <cfRule type="expression" dxfId="2888" priority="1447">
      <formula>$E50=""</formula>
    </cfRule>
  </conditionalFormatting>
  <conditionalFormatting sqref="F50:H51">
    <cfRule type="expression" dxfId="2887" priority="1446">
      <formula>$C50&lt;$E$3</formula>
    </cfRule>
  </conditionalFormatting>
  <conditionalFormatting sqref="F50:H51">
    <cfRule type="expression" dxfId="2886" priority="1445">
      <formula>$E50=""</formula>
    </cfRule>
  </conditionalFormatting>
  <conditionalFormatting sqref="F50:H51">
    <cfRule type="expression" dxfId="2885" priority="1444">
      <formula>$C50&lt;$E$3</formula>
    </cfRule>
  </conditionalFormatting>
  <conditionalFormatting sqref="F50:H51">
    <cfRule type="expression" dxfId="2884" priority="1443">
      <formula>$E50=""</formula>
    </cfRule>
  </conditionalFormatting>
  <conditionalFormatting sqref="F50:H51">
    <cfRule type="expression" dxfId="2883" priority="1442">
      <formula>$C50&lt;$E$3</formula>
    </cfRule>
  </conditionalFormatting>
  <conditionalFormatting sqref="F50:H51">
    <cfRule type="expression" dxfId="2882" priority="1441">
      <formula>$E50=""</formula>
    </cfRule>
  </conditionalFormatting>
  <conditionalFormatting sqref="E14:E20 E5:E11 E41:E47 E32:E38 E23:E29 E50:E51">
    <cfRule type="containsText" dxfId="2881" priority="1434" operator="containsText" text="Sa">
      <formula>NOT(ISERROR(SEARCH("Sa",E5)))</formula>
    </cfRule>
    <cfRule type="containsText" dxfId="2880" priority="1436" operator="containsText" text="Fr">
      <formula>NOT(ISERROR(SEARCH("Fr",E5)))</formula>
    </cfRule>
    <cfRule type="containsText" dxfId="2879" priority="1437" operator="containsText" text="Th">
      <formula>NOT(ISERROR(SEARCH("Th",E5)))</formula>
    </cfRule>
  </conditionalFormatting>
  <conditionalFormatting sqref="E14:E20 E5:E11 E41:E47 E32:E38 E23:E29 E50:E51">
    <cfRule type="containsText" dxfId="2878" priority="1438" operator="containsText" text="Wed">
      <formula>NOT(ISERROR(SEARCH("Wed",E5)))</formula>
    </cfRule>
    <cfRule type="containsText" dxfId="2877" priority="1439" operator="containsText" text="Tu">
      <formula>NOT(ISERROR(SEARCH("Tu",E5)))</formula>
    </cfRule>
    <cfRule type="beginsWith" dxfId="2876" priority="1440" operator="beginsWith" text="M">
      <formula>LEFT(E5,1)="M"</formula>
    </cfRule>
  </conditionalFormatting>
  <conditionalFormatting sqref="E14:E20 E5:E11 E41:E47 E32:E38 E23:E29 E50:E51">
    <cfRule type="containsText" dxfId="2875" priority="1435" operator="containsText" text="Su">
      <formula>NOT(ISERROR(SEARCH("Su",E5)))</formula>
    </cfRule>
  </conditionalFormatting>
  <conditionalFormatting sqref="C4">
    <cfRule type="cellIs" dxfId="2874" priority="1430" stopIfTrue="1" operator="notBetween">
      <formula>$B$2</formula>
      <formula>$B$3</formula>
    </cfRule>
  </conditionalFormatting>
  <conditionalFormatting sqref="C4">
    <cfRule type="cellIs" dxfId="2873" priority="1431" operator="greaterThan">
      <formula>$E$3</formula>
    </cfRule>
    <cfRule type="cellIs" dxfId="2872" priority="1432" operator="equal">
      <formula>$E$3</formula>
    </cfRule>
    <cfRule type="cellIs" dxfId="2871" priority="1433" operator="lessThan">
      <formula>$E$3</formula>
    </cfRule>
  </conditionalFormatting>
  <conditionalFormatting sqref="H23:H29 H32 H14:H20 H11">
    <cfRule type="cellIs" dxfId="2870" priority="1240" stopIfTrue="1" operator="lessThan">
      <formula>0</formula>
    </cfRule>
  </conditionalFormatting>
  <conditionalFormatting sqref="H12">
    <cfRule type="expression" dxfId="2869" priority="1239">
      <formula>$F12&gt;=$F13</formula>
    </cfRule>
  </conditionalFormatting>
  <conditionalFormatting sqref="H21">
    <cfRule type="expression" dxfId="2868" priority="1238">
      <formula>$F21&gt;=$F22</formula>
    </cfRule>
  </conditionalFormatting>
  <conditionalFormatting sqref="H30">
    <cfRule type="expression" dxfId="2867" priority="1237">
      <formula>$F30&gt;=$F31</formula>
    </cfRule>
  </conditionalFormatting>
  <conditionalFormatting sqref="H12">
    <cfRule type="expression" dxfId="2866" priority="1236">
      <formula>$F12&gt;=$F13</formula>
    </cfRule>
  </conditionalFormatting>
  <conditionalFormatting sqref="H21">
    <cfRule type="expression" dxfId="2865" priority="1235">
      <formula>$F21&gt;=$F22</formula>
    </cfRule>
  </conditionalFormatting>
  <conditionalFormatting sqref="H30">
    <cfRule type="expression" dxfId="2864" priority="1234">
      <formula>$F30&gt;=$F31</formula>
    </cfRule>
  </conditionalFormatting>
  <conditionalFormatting sqref="H11">
    <cfRule type="expression" dxfId="2863" priority="1232">
      <formula>$C11&lt;$E$3</formula>
    </cfRule>
  </conditionalFormatting>
  <conditionalFormatting sqref="H11">
    <cfRule type="expression" dxfId="2862" priority="1229">
      <formula>$C11=$E$3</formula>
    </cfRule>
    <cfRule type="expression" dxfId="2861" priority="1230">
      <formula>$C11&lt;$E$3</formula>
    </cfRule>
    <cfRule type="cellIs" dxfId="2860" priority="1231" operator="equal">
      <formula>0</formula>
    </cfRule>
    <cfRule type="expression" dxfId="2859" priority="1233">
      <formula>$C11&gt;$E$3</formula>
    </cfRule>
  </conditionalFormatting>
  <conditionalFormatting sqref="H11">
    <cfRule type="expression" dxfId="2858" priority="1228">
      <formula>$C11&lt;$E$3</formula>
    </cfRule>
  </conditionalFormatting>
  <conditionalFormatting sqref="H11">
    <cfRule type="expression" dxfId="2857" priority="1224">
      <formula>$C11=$E$3</formula>
    </cfRule>
    <cfRule type="expression" dxfId="2856" priority="1225">
      <formula>$C11&lt;$E$3</formula>
    </cfRule>
    <cfRule type="cellIs" dxfId="2855" priority="1226" operator="equal">
      <formula>0</formula>
    </cfRule>
    <cfRule type="expression" dxfId="2854" priority="1227">
      <formula>$C11&gt;$E$3</formula>
    </cfRule>
  </conditionalFormatting>
  <conditionalFormatting sqref="H11">
    <cfRule type="expression" dxfId="2853" priority="1223">
      <formula>$C11&lt;$E$3</formula>
    </cfRule>
  </conditionalFormatting>
  <conditionalFormatting sqref="H11">
    <cfRule type="expression" dxfId="2852" priority="1219">
      <formula>$C11=$E$3</formula>
    </cfRule>
    <cfRule type="expression" dxfId="2851" priority="1220">
      <formula>$C11&lt;$E$3</formula>
    </cfRule>
    <cfRule type="cellIs" dxfId="2850" priority="1221" operator="equal">
      <formula>0</formula>
    </cfRule>
    <cfRule type="expression" dxfId="2849" priority="1222">
      <formula>$C11&gt;$E$3</formula>
    </cfRule>
  </conditionalFormatting>
  <conditionalFormatting sqref="H11">
    <cfRule type="expression" dxfId="2848" priority="1218">
      <formula>$C11&lt;$E$3</formula>
    </cfRule>
  </conditionalFormatting>
  <conditionalFormatting sqref="H11">
    <cfRule type="expression" dxfId="2847" priority="1214">
      <formula>$C11=$E$3</formula>
    </cfRule>
    <cfRule type="expression" dxfId="2846" priority="1215">
      <formula>$C11&lt;$E$3</formula>
    </cfRule>
    <cfRule type="cellIs" dxfId="2845" priority="1216" operator="equal">
      <formula>0</formula>
    </cfRule>
    <cfRule type="expression" dxfId="2844" priority="1217">
      <formula>$C11&gt;$E$3</formula>
    </cfRule>
  </conditionalFormatting>
  <conditionalFormatting sqref="H11">
    <cfRule type="expression" dxfId="2843" priority="1213">
      <formula>$E11=""</formula>
    </cfRule>
  </conditionalFormatting>
  <conditionalFormatting sqref="H11">
    <cfRule type="expression" dxfId="2842" priority="1212">
      <formula>$C11&lt;$E$3</formula>
    </cfRule>
  </conditionalFormatting>
  <conditionalFormatting sqref="H11">
    <cfRule type="expression" dxfId="2841" priority="1211">
      <formula>$E11=""</formula>
    </cfRule>
  </conditionalFormatting>
  <conditionalFormatting sqref="H11">
    <cfRule type="expression" dxfId="2840" priority="1210">
      <formula>$E11=""</formula>
    </cfRule>
  </conditionalFormatting>
  <conditionalFormatting sqref="H11">
    <cfRule type="expression" dxfId="2839" priority="1209">
      <formula>$C11&lt;$E$3</formula>
    </cfRule>
  </conditionalFormatting>
  <conditionalFormatting sqref="H11">
    <cfRule type="expression" dxfId="2838" priority="1208">
      <formula>$E11=""</formula>
    </cfRule>
  </conditionalFormatting>
  <conditionalFormatting sqref="H11">
    <cfRule type="expression" dxfId="2837" priority="1207">
      <formula>$C11&lt;$E$3</formula>
    </cfRule>
  </conditionalFormatting>
  <conditionalFormatting sqref="H11">
    <cfRule type="expression" dxfId="2836" priority="1206">
      <formula>$E11=""</formula>
    </cfRule>
  </conditionalFormatting>
  <conditionalFormatting sqref="H11">
    <cfRule type="expression" dxfId="2835" priority="1205">
      <formula>$C11&lt;$E$3</formula>
    </cfRule>
  </conditionalFormatting>
  <conditionalFormatting sqref="H11">
    <cfRule type="expression" dxfId="2834" priority="1204">
      <formula>$E11=""</formula>
    </cfRule>
  </conditionalFormatting>
  <conditionalFormatting sqref="H14:H20">
    <cfRule type="expression" dxfId="2833" priority="1202">
      <formula>$C14&lt;$E$3</formula>
    </cfRule>
  </conditionalFormatting>
  <conditionalFormatting sqref="H14:H20">
    <cfRule type="expression" dxfId="2832" priority="1199">
      <formula>$C14=$E$3</formula>
    </cfRule>
    <cfRule type="expression" dxfId="2831" priority="1200">
      <formula>$C14&lt;$E$3</formula>
    </cfRule>
    <cfRule type="cellIs" dxfId="2830" priority="1201" operator="equal">
      <formula>0</formula>
    </cfRule>
    <cfRule type="expression" dxfId="2829" priority="1203">
      <formula>$C14&gt;$E$3</formula>
    </cfRule>
  </conditionalFormatting>
  <conditionalFormatting sqref="H14:H20">
    <cfRule type="expression" dxfId="2828" priority="1198">
      <formula>$C14&lt;$E$3</formula>
    </cfRule>
  </conditionalFormatting>
  <conditionalFormatting sqref="H14:H20">
    <cfRule type="expression" dxfId="2827" priority="1194">
      <formula>$C14=$E$3</formula>
    </cfRule>
    <cfRule type="expression" dxfId="2826" priority="1195">
      <formula>$C14&lt;$E$3</formula>
    </cfRule>
    <cfRule type="cellIs" dxfId="2825" priority="1196" operator="equal">
      <formula>0</formula>
    </cfRule>
    <cfRule type="expression" dxfId="2824" priority="1197">
      <formula>$C14&gt;$E$3</formula>
    </cfRule>
  </conditionalFormatting>
  <conditionalFormatting sqref="H14:H20">
    <cfRule type="expression" dxfId="2823" priority="1193">
      <formula>$C14&lt;$E$3</formula>
    </cfRule>
  </conditionalFormatting>
  <conditionalFormatting sqref="H14:H20">
    <cfRule type="expression" dxfId="2822" priority="1189">
      <formula>$C14=$E$3</formula>
    </cfRule>
    <cfRule type="expression" dxfId="2821" priority="1190">
      <formula>$C14&lt;$E$3</formula>
    </cfRule>
    <cfRule type="cellIs" dxfId="2820" priority="1191" operator="equal">
      <formula>0</formula>
    </cfRule>
    <cfRule type="expression" dxfId="2819" priority="1192">
      <formula>$C14&gt;$E$3</formula>
    </cfRule>
  </conditionalFormatting>
  <conditionalFormatting sqref="H14:H20">
    <cfRule type="expression" dxfId="2818" priority="1188">
      <formula>$C14&lt;$E$3</formula>
    </cfRule>
  </conditionalFormatting>
  <conditionalFormatting sqref="H14:H20">
    <cfRule type="expression" dxfId="2817" priority="1184">
      <formula>$C14=$E$3</formula>
    </cfRule>
    <cfRule type="expression" dxfId="2816" priority="1185">
      <formula>$C14&lt;$E$3</formula>
    </cfRule>
    <cfRule type="cellIs" dxfId="2815" priority="1186" operator="equal">
      <formula>0</formula>
    </cfRule>
    <cfRule type="expression" dxfId="2814" priority="1187">
      <formula>$C14&gt;$E$3</formula>
    </cfRule>
  </conditionalFormatting>
  <conditionalFormatting sqref="H14:H20">
    <cfRule type="expression" dxfId="2813" priority="1183">
      <formula>$E14=""</formula>
    </cfRule>
  </conditionalFormatting>
  <conditionalFormatting sqref="H14:H20">
    <cfRule type="expression" dxfId="2812" priority="1182">
      <formula>$C14&lt;$E$3</formula>
    </cfRule>
  </conditionalFormatting>
  <conditionalFormatting sqref="H14:H20">
    <cfRule type="expression" dxfId="2811" priority="1181">
      <formula>$E14=""</formula>
    </cfRule>
  </conditionalFormatting>
  <conditionalFormatting sqref="H14:H20">
    <cfRule type="expression" dxfId="2810" priority="1180">
      <formula>$E14=""</formula>
    </cfRule>
  </conditionalFormatting>
  <conditionalFormatting sqref="H14:H20">
    <cfRule type="expression" dxfId="2809" priority="1179">
      <formula>$C14&lt;$E$3</formula>
    </cfRule>
  </conditionalFormatting>
  <conditionalFormatting sqref="H14:H20">
    <cfRule type="expression" dxfId="2808" priority="1178">
      <formula>$E14=""</formula>
    </cfRule>
  </conditionalFormatting>
  <conditionalFormatting sqref="H14:H20">
    <cfRule type="expression" dxfId="2807" priority="1177">
      <formula>$C14&lt;$E$3</formula>
    </cfRule>
  </conditionalFormatting>
  <conditionalFormatting sqref="H14:H20">
    <cfRule type="expression" dxfId="2806" priority="1176">
      <formula>$E14=""</formula>
    </cfRule>
  </conditionalFormatting>
  <conditionalFormatting sqref="H14:H20">
    <cfRule type="expression" dxfId="2805" priority="1175">
      <formula>$C14&lt;$E$3</formula>
    </cfRule>
  </conditionalFormatting>
  <conditionalFormatting sqref="H14:H20">
    <cfRule type="expression" dxfId="2804" priority="1174">
      <formula>$E14=""</formula>
    </cfRule>
  </conditionalFormatting>
  <conditionalFormatting sqref="H23:H29">
    <cfRule type="expression" dxfId="2803" priority="1172">
      <formula>$C23&lt;$E$3</formula>
    </cfRule>
  </conditionalFormatting>
  <conditionalFormatting sqref="H23:H29">
    <cfRule type="expression" dxfId="2802" priority="1169">
      <formula>$C23=$E$3</formula>
    </cfRule>
    <cfRule type="expression" dxfId="2801" priority="1170">
      <formula>$C23&lt;$E$3</formula>
    </cfRule>
    <cfRule type="cellIs" dxfId="2800" priority="1171" operator="equal">
      <formula>0</formula>
    </cfRule>
    <cfRule type="expression" dxfId="2799" priority="1173">
      <formula>$C23&gt;$E$3</formula>
    </cfRule>
  </conditionalFormatting>
  <conditionalFormatting sqref="H23:H29">
    <cfRule type="expression" dxfId="2798" priority="1168">
      <formula>$C23&lt;$E$3</formula>
    </cfRule>
  </conditionalFormatting>
  <conditionalFormatting sqref="H23:H29">
    <cfRule type="expression" dxfId="2797" priority="1164">
      <formula>$C23=$E$3</formula>
    </cfRule>
    <cfRule type="expression" dxfId="2796" priority="1165">
      <formula>$C23&lt;$E$3</formula>
    </cfRule>
    <cfRule type="cellIs" dxfId="2795" priority="1166" operator="equal">
      <formula>0</formula>
    </cfRule>
    <cfRule type="expression" dxfId="2794" priority="1167">
      <formula>$C23&gt;$E$3</formula>
    </cfRule>
  </conditionalFormatting>
  <conditionalFormatting sqref="H23:H29">
    <cfRule type="expression" dxfId="2793" priority="1163">
      <formula>$C23&lt;$E$3</formula>
    </cfRule>
  </conditionalFormatting>
  <conditionalFormatting sqref="H23:H29">
    <cfRule type="expression" dxfId="2792" priority="1159">
      <formula>$C23=$E$3</formula>
    </cfRule>
    <cfRule type="expression" dxfId="2791" priority="1160">
      <formula>$C23&lt;$E$3</formula>
    </cfRule>
    <cfRule type="cellIs" dxfId="2790" priority="1161" operator="equal">
      <formula>0</formula>
    </cfRule>
    <cfRule type="expression" dxfId="2789" priority="1162">
      <formula>$C23&gt;$E$3</formula>
    </cfRule>
  </conditionalFormatting>
  <conditionalFormatting sqref="H23:H29">
    <cfRule type="expression" dxfId="2788" priority="1158">
      <formula>$C23&lt;$E$3</formula>
    </cfRule>
  </conditionalFormatting>
  <conditionalFormatting sqref="H23:H29">
    <cfRule type="expression" dxfId="2787" priority="1154">
      <formula>$C23=$E$3</formula>
    </cfRule>
    <cfRule type="expression" dxfId="2786" priority="1155">
      <formula>$C23&lt;$E$3</formula>
    </cfRule>
    <cfRule type="cellIs" dxfId="2785" priority="1156" operator="equal">
      <formula>0</formula>
    </cfRule>
    <cfRule type="expression" dxfId="2784" priority="1157">
      <formula>$C23&gt;$E$3</formula>
    </cfRule>
  </conditionalFormatting>
  <conditionalFormatting sqref="H23:H29">
    <cfRule type="expression" dxfId="2783" priority="1153">
      <formula>$E23=""</formula>
    </cfRule>
  </conditionalFormatting>
  <conditionalFormatting sqref="H23:H29">
    <cfRule type="expression" dxfId="2782" priority="1152">
      <formula>$C23&lt;$E$3</formula>
    </cfRule>
  </conditionalFormatting>
  <conditionalFormatting sqref="H23:H29">
    <cfRule type="expression" dxfId="2781" priority="1151">
      <formula>$E23=""</formula>
    </cfRule>
  </conditionalFormatting>
  <conditionalFormatting sqref="H23:H29">
    <cfRule type="expression" dxfId="2780" priority="1150">
      <formula>$E23=""</formula>
    </cfRule>
  </conditionalFormatting>
  <conditionalFormatting sqref="H23:H29">
    <cfRule type="expression" dxfId="2779" priority="1149">
      <formula>$C23&lt;$E$3</formula>
    </cfRule>
  </conditionalFormatting>
  <conditionalFormatting sqref="H23:H29">
    <cfRule type="expression" dxfId="2778" priority="1148">
      <formula>$E23=""</formula>
    </cfRule>
  </conditionalFormatting>
  <conditionalFormatting sqref="H23:H29">
    <cfRule type="expression" dxfId="2777" priority="1147">
      <formula>$C23&lt;$E$3</formula>
    </cfRule>
  </conditionalFormatting>
  <conditionalFormatting sqref="H23:H29">
    <cfRule type="expression" dxfId="2776" priority="1146">
      <formula>$E23=""</formula>
    </cfRule>
  </conditionalFormatting>
  <conditionalFormatting sqref="H23:H29">
    <cfRule type="expression" dxfId="2775" priority="1145">
      <formula>$C23&lt;$E$3</formula>
    </cfRule>
  </conditionalFormatting>
  <conditionalFormatting sqref="H23:H29">
    <cfRule type="expression" dxfId="2774" priority="1144">
      <formula>$E23=""</formula>
    </cfRule>
  </conditionalFormatting>
  <conditionalFormatting sqref="H32">
    <cfRule type="expression" dxfId="2773" priority="1142">
      <formula>$C32&lt;$E$3</formula>
    </cfRule>
  </conditionalFormatting>
  <conditionalFormatting sqref="H32">
    <cfRule type="expression" dxfId="2772" priority="1139">
      <formula>$C32=$E$3</formula>
    </cfRule>
    <cfRule type="expression" dxfId="2771" priority="1140">
      <formula>$C32&lt;$E$3</formula>
    </cfRule>
    <cfRule type="cellIs" dxfId="2770" priority="1141" operator="equal">
      <formula>0</formula>
    </cfRule>
    <cfRule type="expression" dxfId="2769" priority="1143">
      <formula>$C32&gt;$E$3</formula>
    </cfRule>
  </conditionalFormatting>
  <conditionalFormatting sqref="H32">
    <cfRule type="expression" dxfId="2768" priority="1138">
      <formula>$C32&lt;$E$3</formula>
    </cfRule>
  </conditionalFormatting>
  <conditionalFormatting sqref="H32">
    <cfRule type="expression" dxfId="2767" priority="1134">
      <formula>$C32=$E$3</formula>
    </cfRule>
    <cfRule type="expression" dxfId="2766" priority="1135">
      <formula>$C32&lt;$E$3</formula>
    </cfRule>
    <cfRule type="cellIs" dxfId="2765" priority="1136" operator="equal">
      <formula>0</formula>
    </cfRule>
    <cfRule type="expression" dxfId="2764" priority="1137">
      <formula>$C32&gt;$E$3</formula>
    </cfRule>
  </conditionalFormatting>
  <conditionalFormatting sqref="H32">
    <cfRule type="expression" dxfId="2763" priority="1133">
      <formula>$C32&lt;$E$3</formula>
    </cfRule>
  </conditionalFormatting>
  <conditionalFormatting sqref="H32">
    <cfRule type="expression" dxfId="2762" priority="1129">
      <formula>$C32=$E$3</formula>
    </cfRule>
    <cfRule type="expression" dxfId="2761" priority="1130">
      <formula>$C32&lt;$E$3</formula>
    </cfRule>
    <cfRule type="cellIs" dxfId="2760" priority="1131" operator="equal">
      <formula>0</formula>
    </cfRule>
    <cfRule type="expression" dxfId="2759" priority="1132">
      <formula>$C32&gt;$E$3</formula>
    </cfRule>
  </conditionalFormatting>
  <conditionalFormatting sqref="H32">
    <cfRule type="expression" dxfId="2758" priority="1128">
      <formula>$C32&lt;$E$3</formula>
    </cfRule>
  </conditionalFormatting>
  <conditionalFormatting sqref="H32">
    <cfRule type="expression" dxfId="2757" priority="1124">
      <formula>$C32=$E$3</formula>
    </cfRule>
    <cfRule type="expression" dxfId="2756" priority="1125">
      <formula>$C32&lt;$E$3</formula>
    </cfRule>
    <cfRule type="cellIs" dxfId="2755" priority="1126" operator="equal">
      <formula>0</formula>
    </cfRule>
    <cfRule type="expression" dxfId="2754" priority="1127">
      <formula>$C32&gt;$E$3</formula>
    </cfRule>
  </conditionalFormatting>
  <conditionalFormatting sqref="H32">
    <cfRule type="expression" dxfId="2753" priority="1123">
      <formula>$E32=""</formula>
    </cfRule>
  </conditionalFormatting>
  <conditionalFormatting sqref="H32">
    <cfRule type="expression" dxfId="2752" priority="1122">
      <formula>$C32&lt;$E$3</formula>
    </cfRule>
  </conditionalFormatting>
  <conditionalFormatting sqref="H32">
    <cfRule type="expression" dxfId="2751" priority="1121">
      <formula>$E32=""</formula>
    </cfRule>
  </conditionalFormatting>
  <conditionalFormatting sqref="H32">
    <cfRule type="expression" dxfId="2750" priority="1120">
      <formula>$E32=""</formula>
    </cfRule>
  </conditionalFormatting>
  <conditionalFormatting sqref="H32">
    <cfRule type="expression" dxfId="2749" priority="1119">
      <formula>$C32&lt;$E$3</formula>
    </cfRule>
  </conditionalFormatting>
  <conditionalFormatting sqref="H32">
    <cfRule type="expression" dxfId="2748" priority="1118">
      <formula>$E32=""</formula>
    </cfRule>
  </conditionalFormatting>
  <conditionalFormatting sqref="H32">
    <cfRule type="expression" dxfId="2747" priority="1117">
      <formula>$C32&lt;$E$3</formula>
    </cfRule>
  </conditionalFormatting>
  <conditionalFormatting sqref="H32">
    <cfRule type="expression" dxfId="2746" priority="1116">
      <formula>$E32=""</formula>
    </cfRule>
  </conditionalFormatting>
  <conditionalFormatting sqref="H32">
    <cfRule type="expression" dxfId="2745" priority="1115">
      <formula>$C32&lt;$E$3</formula>
    </cfRule>
  </conditionalFormatting>
  <conditionalFormatting sqref="H32">
    <cfRule type="expression" dxfId="2744" priority="1114">
      <formula>$E32=""</formula>
    </cfRule>
  </conditionalFormatting>
  <conditionalFormatting sqref="F52:H52">
    <cfRule type="expression" dxfId="2743" priority="1611" stopIfTrue="1">
      <formula>$H$52=-1E-55</formula>
    </cfRule>
    <cfRule type="expression" dxfId="2742" priority="1612">
      <formula>$F52&gt;=$F53</formula>
    </cfRule>
  </conditionalFormatting>
  <conditionalFormatting sqref="H33:H37">
    <cfRule type="cellIs" dxfId="2741" priority="1027" stopIfTrue="1" operator="lessThan">
      <formula>0</formula>
    </cfRule>
  </conditionalFormatting>
  <conditionalFormatting sqref="H33:H37">
    <cfRule type="expression" dxfId="2740" priority="1031">
      <formula>$C33&lt;$E$3</formula>
    </cfRule>
  </conditionalFormatting>
  <conditionalFormatting sqref="H33:H37">
    <cfRule type="expression" dxfId="2739" priority="1028">
      <formula>$C33=$E$3</formula>
    </cfRule>
    <cfRule type="expression" dxfId="2738" priority="1029">
      <formula>$C33&lt;$E$3</formula>
    </cfRule>
    <cfRule type="cellIs" dxfId="2737" priority="1030" operator="equal">
      <formula>0</formula>
    </cfRule>
    <cfRule type="expression" dxfId="2736" priority="1032">
      <formula>$C33&gt;$E$3</formula>
    </cfRule>
  </conditionalFormatting>
  <conditionalFormatting sqref="H33:H37">
    <cfRule type="expression" dxfId="2735" priority="1026">
      <formula>$C33&lt;$E$3</formula>
    </cfRule>
  </conditionalFormatting>
  <conditionalFormatting sqref="H33:H37">
    <cfRule type="expression" dxfId="2734" priority="1022">
      <formula>$C33=$E$3</formula>
    </cfRule>
    <cfRule type="expression" dxfId="2733" priority="1023">
      <formula>$C33&lt;$E$3</formula>
    </cfRule>
    <cfRule type="cellIs" dxfId="2732" priority="1024" operator="equal">
      <formula>0</formula>
    </cfRule>
    <cfRule type="expression" dxfId="2731" priority="1025">
      <formula>$C33&gt;$E$3</formula>
    </cfRule>
  </conditionalFormatting>
  <conditionalFormatting sqref="H33:H37">
    <cfRule type="expression" dxfId="2730" priority="1021">
      <formula>$E33=""</formula>
    </cfRule>
  </conditionalFormatting>
  <conditionalFormatting sqref="H36">
    <cfRule type="expression" dxfId="2729" priority="1020">
      <formula>$E36=""</formula>
    </cfRule>
  </conditionalFormatting>
  <conditionalFormatting sqref="H33:H37">
    <cfRule type="expression" dxfId="2728" priority="1019">
      <formula>$C33&lt;$E$3</formula>
    </cfRule>
  </conditionalFormatting>
  <conditionalFormatting sqref="H33:H37">
    <cfRule type="expression" dxfId="2727" priority="1015">
      <formula>$C33=$E$3</formula>
    </cfRule>
    <cfRule type="expression" dxfId="2726" priority="1016">
      <formula>$C33&lt;$E$3</formula>
    </cfRule>
    <cfRule type="cellIs" dxfId="2725" priority="1017" operator="equal">
      <formula>0</formula>
    </cfRule>
    <cfRule type="expression" dxfId="2724" priority="1018">
      <formula>$C33&gt;$E$3</formula>
    </cfRule>
  </conditionalFormatting>
  <conditionalFormatting sqref="H33:H37">
    <cfRule type="expression" dxfId="2723" priority="1014">
      <formula>$C33&lt;$E$3</formula>
    </cfRule>
  </conditionalFormatting>
  <conditionalFormatting sqref="H33:H37">
    <cfRule type="expression" dxfId="2722" priority="1010">
      <formula>$C33=$E$3</formula>
    </cfRule>
    <cfRule type="expression" dxfId="2721" priority="1011">
      <formula>$C33&lt;$E$3</formula>
    </cfRule>
    <cfRule type="cellIs" dxfId="2720" priority="1012" operator="equal">
      <formula>0</formula>
    </cfRule>
    <cfRule type="expression" dxfId="2719" priority="1013">
      <formula>$C33&gt;$E$3</formula>
    </cfRule>
  </conditionalFormatting>
  <conditionalFormatting sqref="H33:H37">
    <cfRule type="expression" dxfId="2718" priority="1009">
      <formula>$E33=""</formula>
    </cfRule>
  </conditionalFormatting>
  <conditionalFormatting sqref="H33:H37">
    <cfRule type="expression" dxfId="2717" priority="1008">
      <formula>$C33&lt;$E$3</formula>
    </cfRule>
  </conditionalFormatting>
  <conditionalFormatting sqref="H33:H37">
    <cfRule type="expression" dxfId="2716" priority="1007">
      <formula>$E33=""</formula>
    </cfRule>
  </conditionalFormatting>
  <conditionalFormatting sqref="H33:H37">
    <cfRule type="expression" dxfId="2715" priority="1006">
      <formula>$E33=""</formula>
    </cfRule>
  </conditionalFormatting>
  <conditionalFormatting sqref="H33:H37">
    <cfRule type="expression" dxfId="2714" priority="1005">
      <formula>$C33&lt;$E$3</formula>
    </cfRule>
  </conditionalFormatting>
  <conditionalFormatting sqref="H33:H37">
    <cfRule type="expression" dxfId="2713" priority="1004">
      <formula>$E33=""</formula>
    </cfRule>
  </conditionalFormatting>
  <conditionalFormatting sqref="H33:H37">
    <cfRule type="expression" dxfId="2712" priority="1003">
      <formula>$C33&lt;$E$3</formula>
    </cfRule>
  </conditionalFormatting>
  <conditionalFormatting sqref="H33:H37">
    <cfRule type="expression" dxfId="2711" priority="1002">
      <formula>$E33=""</formula>
    </cfRule>
  </conditionalFormatting>
  <conditionalFormatting sqref="H33:H37">
    <cfRule type="expression" dxfId="2710" priority="1001">
      <formula>$C33&lt;$E$3</formula>
    </cfRule>
  </conditionalFormatting>
  <conditionalFormatting sqref="H33:H37">
    <cfRule type="expression" dxfId="2709" priority="1000">
      <formula>$E33=""</formula>
    </cfRule>
  </conditionalFormatting>
  <conditionalFormatting sqref="V50:W51 V5:W20 V23:W29 V32:W38 V41:W47">
    <cfRule type="cellIs" dxfId="2708" priority="234" stopIfTrue="1" operator="lessThan">
      <formula>0</formula>
    </cfRule>
  </conditionalFormatting>
  <conditionalFormatting sqref="Q4:Q51 R5:R11 R14:R20 R23:R29 R32:R38 R41:R47 R50:R51 T50:U51 T41:U47 T32:U38 T23:U29 T14:U20 T5:U11">
    <cfRule type="cellIs" dxfId="2707" priority="235" stopIfTrue="1" operator="lessThan">
      <formula>0</formula>
    </cfRule>
  </conditionalFormatting>
  <conditionalFormatting sqref="N15 J23:J29 J14:J20 J5:J11 J50:J51 J41:J47 J32:J38 N17:N18 L5:N11 L14:M20 L23:M29 L32:M38 L41:N47 L50:N51">
    <cfRule type="cellIs" dxfId="2706" priority="233" stopIfTrue="1" operator="lessThan">
      <formula>0</formula>
    </cfRule>
  </conditionalFormatting>
  <conditionalFormatting sqref="J5:J11 J50:J51 J14:J20 J23:J29 J41:J47 J32:J38 L5:M11 L14:M20 L23:M29 L32:M38 L41:M47 L50:M51">
    <cfRule type="expression" dxfId="2705" priority="231">
      <formula>$C5&lt;$E$3</formula>
    </cfRule>
  </conditionalFormatting>
  <conditionalFormatting sqref="J5:J11 J50:J51 J14:J20 J23:J29 J41:J47 J32:J38 L5:M11 L14:M20 L23:M29 L32:M38 L41:M47 L50:M51">
    <cfRule type="expression" dxfId="2704" priority="228">
      <formula>$C5=$E$3</formula>
    </cfRule>
    <cfRule type="expression" dxfId="2703" priority="229">
      <formula>$C5&lt;$E$3</formula>
    </cfRule>
    <cfRule type="cellIs" dxfId="2702" priority="230" operator="equal">
      <formula>0</formula>
    </cfRule>
    <cfRule type="expression" dxfId="2701" priority="232">
      <formula>$C5&gt;$E$3</formula>
    </cfRule>
  </conditionalFormatting>
  <conditionalFormatting sqref="J5:J11 J50:J51 J14:J20 J23:J29 J41:J47 J32:J38 L5:M11 L14:M20 L23:M29 L32:M38 L41:M47 L50:M51">
    <cfRule type="expression" dxfId="2700" priority="227">
      <formula>$E5=""</formula>
    </cfRule>
  </conditionalFormatting>
  <conditionalFormatting sqref="J5:J11 J50:J51 J14:J20 J23:J29 J41:J47 J32:J38 L5:M11 L14:M20 L23:M29 L32:M38 L41:M47 L50:M51">
    <cfRule type="expression" dxfId="2699" priority="226">
      <formula>$E5=""</formula>
    </cfRule>
  </conditionalFormatting>
  <conditionalFormatting sqref="J5:J11 J50:J51 J14:J20 J23:J29 J41:J47 J32:J38 L5:M11 L14:M20 L23:M29 L32:M38 L41:M47 L50:M51">
    <cfRule type="expression" dxfId="2698" priority="225">
      <formula>$E5=""</formula>
    </cfRule>
  </conditionalFormatting>
  <conditionalFormatting sqref="M5:M11 M14:M20 M23:M29 M32:M38 M41:M47 M50:M51">
    <cfRule type="expression" dxfId="2697" priority="224">
      <formula>$C5&lt;$E$3</formula>
    </cfRule>
  </conditionalFormatting>
  <conditionalFormatting sqref="M5:M11 M14:M20 M23:M29 M32:M38 M41:M47 M50:M51">
    <cfRule type="expression" dxfId="2696" priority="220">
      <formula>$C5=$E$3</formula>
    </cfRule>
    <cfRule type="expression" dxfId="2695" priority="221">
      <formula>$C5&lt;$E$3</formula>
    </cfRule>
    <cfRule type="cellIs" dxfId="2694" priority="222" operator="equal">
      <formula>0</formula>
    </cfRule>
    <cfRule type="expression" dxfId="2693" priority="223">
      <formula>$C5&gt;$E$3</formula>
    </cfRule>
  </conditionalFormatting>
  <conditionalFormatting sqref="M5:M11 M14:M20 M23:M29 M32:M38 M41:M47 M50:M51">
    <cfRule type="expression" dxfId="2692" priority="219">
      <formula>$C5&lt;$E$3</formula>
    </cfRule>
  </conditionalFormatting>
  <conditionalFormatting sqref="M5:M11 M14:M20 M23:M29 M32:M38 M41:M47 M50:M51">
    <cfRule type="expression" dxfId="2691" priority="215">
      <formula>$C5=$E$3</formula>
    </cfRule>
    <cfRule type="expression" dxfId="2690" priority="216">
      <formula>$C5&lt;$E$3</formula>
    </cfRule>
    <cfRule type="cellIs" dxfId="2689" priority="217" operator="equal">
      <formula>0</formula>
    </cfRule>
    <cfRule type="expression" dxfId="2688" priority="218">
      <formula>$C5&gt;$E$3</formula>
    </cfRule>
  </conditionalFormatting>
  <conditionalFormatting sqref="M5:M11 M14:M20 M23:M29 M32:M38 M41:M47 M50:M51">
    <cfRule type="expression" dxfId="2687" priority="214">
      <formula>$C5&lt;$E$3</formula>
    </cfRule>
  </conditionalFormatting>
  <conditionalFormatting sqref="M5:M11 M14:M20 M23:M29 M32:M38 M41:M47 M50:M51">
    <cfRule type="expression" dxfId="2686" priority="210">
      <formula>$C5=$E$3</formula>
    </cfRule>
    <cfRule type="expression" dxfId="2685" priority="211">
      <formula>$C5&lt;$E$3</formula>
    </cfRule>
    <cfRule type="cellIs" dxfId="2684" priority="212" operator="equal">
      <formula>0</formula>
    </cfRule>
    <cfRule type="expression" dxfId="2683" priority="213">
      <formula>$C5&gt;$E$3</formula>
    </cfRule>
  </conditionalFormatting>
  <conditionalFormatting sqref="M5:M11 M14:M20 M23:M29 M32:M38 M41:M47 M50:M51">
    <cfRule type="expression" dxfId="2682" priority="209">
      <formula>$C5&lt;$E$3</formula>
    </cfRule>
  </conditionalFormatting>
  <conditionalFormatting sqref="M5:M11 M14:M20 M23:M29 M32:M38 M41:M47 M50:M51">
    <cfRule type="expression" dxfId="2681" priority="205">
      <formula>$C5=$E$3</formula>
    </cfRule>
    <cfRule type="expression" dxfId="2680" priority="206">
      <formula>$C5&lt;$E$3</formula>
    </cfRule>
    <cfRule type="cellIs" dxfId="2679" priority="207" operator="equal">
      <formula>0</formula>
    </cfRule>
    <cfRule type="expression" dxfId="2678" priority="208">
      <formula>$C5&gt;$E$3</formula>
    </cfRule>
  </conditionalFormatting>
  <conditionalFormatting sqref="M5:M11 M14:M20 M23:M29 M32:M38 M41:M47 M50:M51">
    <cfRule type="expression" dxfId="2677" priority="204">
      <formula>$E5=""</formula>
    </cfRule>
  </conditionalFormatting>
  <conditionalFormatting sqref="M5:M11 M14:M20 M23:M29 M32:M38 M41:M47 M50:M51">
    <cfRule type="expression" dxfId="2676" priority="203">
      <formula>$C5&lt;$E$3</formula>
    </cfRule>
  </conditionalFormatting>
  <conditionalFormatting sqref="M5:M11 M14:M20 M23:M29 M32:M38 M41:M47 M50:M51">
    <cfRule type="expression" dxfId="2675" priority="202">
      <formula>$E5=""</formula>
    </cfRule>
  </conditionalFormatting>
  <conditionalFormatting sqref="M5:M11 M14:M20 M23:M29 M32:M38 M41:M47 M50:M51">
    <cfRule type="expression" dxfId="2674" priority="201">
      <formula>$E5=""</formula>
    </cfRule>
  </conditionalFormatting>
  <conditionalFormatting sqref="M5:M11 M14:M20 M23:M29 M32:M38 M41:M47 M50:M51">
    <cfRule type="expression" dxfId="2673" priority="200">
      <formula>$C5&lt;$E$3</formula>
    </cfRule>
  </conditionalFormatting>
  <conditionalFormatting sqref="M5:M11 M14:M20 M23:M29 M32:M38 M41:M47 M50:M51">
    <cfRule type="expression" dxfId="2672" priority="199">
      <formula>$E5=""</formula>
    </cfRule>
  </conditionalFormatting>
  <conditionalFormatting sqref="M5:M11 M14:M20 M23:M29 M32:M38 M41:M47 M50:M51">
    <cfRule type="expression" dxfId="2671" priority="198">
      <formula>$C5&lt;$E$3</formula>
    </cfRule>
  </conditionalFormatting>
  <conditionalFormatting sqref="M5:M11 M14:M20 M23:M29 M32:M38 M41:M47 M50:M51">
    <cfRule type="expression" dxfId="2670" priority="197">
      <formula>$E5=""</formula>
    </cfRule>
  </conditionalFormatting>
  <conditionalFormatting sqref="M5:M11 M14:M20 M23:M29 M32:M38 M41:M47 M50:M51">
    <cfRule type="expression" dxfId="2669" priority="196">
      <formula>$C5&lt;$E$3</formula>
    </cfRule>
  </conditionalFormatting>
  <conditionalFormatting sqref="M5:M11 M14:M20 M23:M29 M32:M38 M41:M47 M50:M51">
    <cfRule type="expression" dxfId="2668" priority="195">
      <formula>$E5=""</formula>
    </cfRule>
  </conditionalFormatting>
  <conditionalFormatting sqref="M5:M11 M14:M20 M23:M29 M32:M38 M41:M47 M50:M51">
    <cfRule type="expression" dxfId="2667" priority="194">
      <formula>$C5&lt;$E$3</formula>
    </cfRule>
  </conditionalFormatting>
  <conditionalFormatting sqref="M5:M11 M14:M20 M23:M29 M32:M38 M41:M47 M50:M51">
    <cfRule type="expression" dxfId="2666" priority="190">
      <formula>$C5=$E$3</formula>
    </cfRule>
    <cfRule type="expression" dxfId="2665" priority="191">
      <formula>$C5&lt;$E$3</formula>
    </cfRule>
    <cfRule type="cellIs" dxfId="2664" priority="192" operator="equal">
      <formula>0</formula>
    </cfRule>
    <cfRule type="expression" dxfId="2663" priority="193">
      <formula>$C5&gt;$E$3</formula>
    </cfRule>
  </conditionalFormatting>
  <conditionalFormatting sqref="M5:M11 M14:M20 M23:M29 M32:M38 M41:M47 M50:M51">
    <cfRule type="expression" dxfId="2662" priority="189">
      <formula>$C5&lt;$E$3</formula>
    </cfRule>
  </conditionalFormatting>
  <conditionalFormatting sqref="M5:M11 M14:M20 M23:M29 M32:M38 M41:M47 M50:M51">
    <cfRule type="expression" dxfId="2661" priority="185">
      <formula>$C5=$E$3</formula>
    </cfRule>
    <cfRule type="expression" dxfId="2660" priority="186">
      <formula>$C5&lt;$E$3</formula>
    </cfRule>
    <cfRule type="cellIs" dxfId="2659" priority="187" operator="equal">
      <formula>0</formula>
    </cfRule>
    <cfRule type="expression" dxfId="2658" priority="188">
      <formula>$C5&gt;$E$3</formula>
    </cfRule>
  </conditionalFormatting>
  <conditionalFormatting sqref="M5:M11 M14:M20 M23:M29 M32:M38 M41:M47 M50:M51">
    <cfRule type="expression" dxfId="2657" priority="184">
      <formula>$C5&lt;$E$3</formula>
    </cfRule>
  </conditionalFormatting>
  <conditionalFormatting sqref="M5:M11 M14:M20 M23:M29 M32:M38 M41:M47 M50:M51">
    <cfRule type="expression" dxfId="2656" priority="180">
      <formula>$C5=$E$3</formula>
    </cfRule>
    <cfRule type="expression" dxfId="2655" priority="181">
      <formula>$C5&lt;$E$3</formula>
    </cfRule>
    <cfRule type="cellIs" dxfId="2654" priority="182" operator="equal">
      <formula>0</formula>
    </cfRule>
    <cfRule type="expression" dxfId="2653" priority="183">
      <formula>$C5&gt;$E$3</formula>
    </cfRule>
  </conditionalFormatting>
  <conditionalFormatting sqref="M5:M11 M14:M20 M23:M29 M32:M38 M41:M47 M50:M51">
    <cfRule type="expression" dxfId="2652" priority="179">
      <formula>$C5&lt;$E$3</formula>
    </cfRule>
  </conditionalFormatting>
  <conditionalFormatting sqref="M5:M11 M14:M20 M23:M29 M32:M38 M41:M47 M50:M51">
    <cfRule type="expression" dxfId="2651" priority="175">
      <formula>$C5=$E$3</formula>
    </cfRule>
    <cfRule type="expression" dxfId="2650" priority="176">
      <formula>$C5&lt;$E$3</formula>
    </cfRule>
    <cfRule type="cellIs" dxfId="2649" priority="177" operator="equal">
      <formula>0</formula>
    </cfRule>
    <cfRule type="expression" dxfId="2648" priority="178">
      <formula>$C5&gt;$E$3</formula>
    </cfRule>
  </conditionalFormatting>
  <conditionalFormatting sqref="M5:M11 M14:M20 M23:M29 M32:M38 M41:M47 M50:M51">
    <cfRule type="expression" dxfId="2647" priority="174">
      <formula>$E5=""</formula>
    </cfRule>
  </conditionalFormatting>
  <conditionalFormatting sqref="M5:M11 M14:M20 M23:M29 M32:M38 M41:M47 M50:M51">
    <cfRule type="expression" dxfId="2646" priority="173">
      <formula>$C5&lt;$E$3</formula>
    </cfRule>
  </conditionalFormatting>
  <conditionalFormatting sqref="M5:M11 M14:M20 M23:M29 M32:M38 M41:M47 M50:M51">
    <cfRule type="expression" dxfId="2645" priority="172">
      <formula>$E5=""</formula>
    </cfRule>
  </conditionalFormatting>
  <conditionalFormatting sqref="M5:M11 M14:M20 M23:M29 M32:M38 M41:M47 M50:M51">
    <cfRule type="expression" dxfId="2644" priority="171">
      <formula>$E5=""</formula>
    </cfRule>
  </conditionalFormatting>
  <conditionalFormatting sqref="M5:M11 M14:M20 M23:M29 M32:M38 M41:M47 M50:M51">
    <cfRule type="expression" dxfId="2643" priority="170">
      <formula>$C5&lt;$E$3</formula>
    </cfRule>
  </conditionalFormatting>
  <conditionalFormatting sqref="M5:M11 M14:M20 M23:M29 M32:M38 M41:M47 M50:M51">
    <cfRule type="expression" dxfId="2642" priority="169">
      <formula>$E5=""</formula>
    </cfRule>
  </conditionalFormatting>
  <conditionalFormatting sqref="M5:M11 M14:M20 M23:M29 M32:M38 M41:M47 M50:M51">
    <cfRule type="expression" dxfId="2641" priority="168">
      <formula>$C5&lt;$E$3</formula>
    </cfRule>
  </conditionalFormatting>
  <conditionalFormatting sqref="M5:M11 M14:M20 M23:M29 M32:M38 M41:M47 M50:M51">
    <cfRule type="expression" dxfId="2640" priority="167">
      <formula>$E5=""</formula>
    </cfRule>
  </conditionalFormatting>
  <conditionalFormatting sqref="M5:M11 M14:M20 M23:M29 M32:M38 M41:M47 M50:M51">
    <cfRule type="expression" dxfId="2639" priority="166">
      <formula>$C5&lt;$E$3</formula>
    </cfRule>
  </conditionalFormatting>
  <conditionalFormatting sqref="M5:M11 M14:M20 M23:M29 M32:M38 M41:M47 M50:M51">
    <cfRule type="expression" dxfId="2638" priority="165">
      <formula>$E5=""</formula>
    </cfRule>
  </conditionalFormatting>
  <conditionalFormatting sqref="K48:K49">
    <cfRule type="cellIs" dxfId="2637" priority="164" stopIfTrue="1" operator="lessThan">
      <formula>0</formula>
    </cfRule>
  </conditionalFormatting>
  <conditionalFormatting sqref="K48:K49">
    <cfRule type="expression" dxfId="2636" priority="163">
      <formula>$C68&lt;$E$3</formula>
    </cfRule>
  </conditionalFormatting>
  <conditionalFormatting sqref="K48:K49">
    <cfRule type="expression" dxfId="2635" priority="159">
      <formula>$C68=$E$3</formula>
    </cfRule>
    <cfRule type="expression" dxfId="2634" priority="160">
      <formula>$C68&lt;$E$3</formula>
    </cfRule>
    <cfRule type="cellIs" dxfId="2633" priority="161" operator="equal">
      <formula>0</formula>
    </cfRule>
    <cfRule type="expression" dxfId="2632" priority="162">
      <formula>$C68&gt;$E$3</formula>
    </cfRule>
  </conditionalFormatting>
  <conditionalFormatting sqref="K48:K49">
    <cfRule type="expression" dxfId="2631" priority="158">
      <formula>$C68&lt;$E$3</formula>
    </cfRule>
  </conditionalFormatting>
  <conditionalFormatting sqref="K48:K49">
    <cfRule type="expression" dxfId="2630" priority="154">
      <formula>$C68=$E$3</formula>
    </cfRule>
    <cfRule type="expression" dxfId="2629" priority="155">
      <formula>$C68&lt;$E$3</formula>
    </cfRule>
    <cfRule type="cellIs" dxfId="2628" priority="156" operator="equal">
      <formula>0</formula>
    </cfRule>
    <cfRule type="expression" dxfId="2627" priority="157">
      <formula>$C68&gt;$E$3</formula>
    </cfRule>
  </conditionalFormatting>
  <conditionalFormatting sqref="K48:K49">
    <cfRule type="expression" dxfId="2626" priority="153">
      <formula>$C68&lt;$E$3</formula>
    </cfRule>
  </conditionalFormatting>
  <conditionalFormatting sqref="K48:K49">
    <cfRule type="expression" dxfId="2625" priority="149">
      <formula>$C68=$E$3</formula>
    </cfRule>
    <cfRule type="expression" dxfId="2624" priority="150">
      <formula>$C68&lt;$E$3</formula>
    </cfRule>
    <cfRule type="cellIs" dxfId="2623" priority="151" operator="equal">
      <formula>0</formula>
    </cfRule>
    <cfRule type="expression" dxfId="2622" priority="152">
      <formula>$C68&gt;$E$3</formula>
    </cfRule>
  </conditionalFormatting>
  <conditionalFormatting sqref="K48:K49">
    <cfRule type="expression" dxfId="2621" priority="148">
      <formula>$C68&lt;$E$3</formula>
    </cfRule>
  </conditionalFormatting>
  <conditionalFormatting sqref="K48:K49">
    <cfRule type="expression" dxfId="2620" priority="144">
      <formula>$C68=$E$3</formula>
    </cfRule>
    <cfRule type="expression" dxfId="2619" priority="145">
      <formula>$C68&lt;$E$3</formula>
    </cfRule>
    <cfRule type="cellIs" dxfId="2618" priority="146" operator="equal">
      <formula>0</formula>
    </cfRule>
    <cfRule type="expression" dxfId="2617" priority="147">
      <formula>$C68&gt;$E$3</formula>
    </cfRule>
  </conditionalFormatting>
  <conditionalFormatting sqref="K48:K49">
    <cfRule type="expression" dxfId="2616" priority="143">
      <formula>$E68=""</formula>
    </cfRule>
  </conditionalFormatting>
  <conditionalFormatting sqref="K48:K49">
    <cfRule type="expression" dxfId="2615" priority="142">
      <formula>$C68&lt;$E$3</formula>
    </cfRule>
  </conditionalFormatting>
  <conditionalFormatting sqref="K48:K49">
    <cfRule type="expression" dxfId="2614" priority="141">
      <formula>$E68=""</formula>
    </cfRule>
  </conditionalFormatting>
  <conditionalFormatting sqref="K48:K49">
    <cfRule type="expression" dxfId="2613" priority="140">
      <formula>$E68=""</formula>
    </cfRule>
  </conditionalFormatting>
  <conditionalFormatting sqref="K48:K49">
    <cfRule type="expression" dxfId="2612" priority="139">
      <formula>$C68&lt;$E$3</formula>
    </cfRule>
  </conditionalFormatting>
  <conditionalFormatting sqref="K48:K49">
    <cfRule type="expression" dxfId="2611" priority="138">
      <formula>$E68=""</formula>
    </cfRule>
  </conditionalFormatting>
  <conditionalFormatting sqref="K48:K49">
    <cfRule type="expression" dxfId="2610" priority="137">
      <formula>$C68&lt;$E$3</formula>
    </cfRule>
  </conditionalFormatting>
  <conditionalFormatting sqref="K48:K49">
    <cfRule type="expression" dxfId="2609" priority="136">
      <formula>$E68=""</formula>
    </cfRule>
  </conditionalFormatting>
  <conditionalFormatting sqref="K48:K49">
    <cfRule type="expression" dxfId="2608" priority="135">
      <formula>$C68&lt;$E$3</formula>
    </cfRule>
  </conditionalFormatting>
  <conditionalFormatting sqref="K48:K49">
    <cfRule type="expression" dxfId="2607" priority="134">
      <formula>$E68=""</formula>
    </cfRule>
  </conditionalFormatting>
  <conditionalFormatting sqref="K48:K49">
    <cfRule type="expression" dxfId="2606" priority="133">
      <formula>$C68&lt;$E$3</formula>
    </cfRule>
  </conditionalFormatting>
  <conditionalFormatting sqref="K48:K49">
    <cfRule type="expression" dxfId="2605" priority="129">
      <formula>$C68=$E$3</formula>
    </cfRule>
    <cfRule type="expression" dxfId="2604" priority="130">
      <formula>$C68&lt;$E$3</formula>
    </cfRule>
    <cfRule type="cellIs" dxfId="2603" priority="131" operator="equal">
      <formula>0</formula>
    </cfRule>
    <cfRule type="expression" dxfId="2602" priority="132">
      <formula>$C68&gt;$E$3</formula>
    </cfRule>
  </conditionalFormatting>
  <conditionalFormatting sqref="K48:K49">
    <cfRule type="expression" dxfId="2601" priority="128">
      <formula>$C68&lt;$E$3</formula>
    </cfRule>
  </conditionalFormatting>
  <conditionalFormatting sqref="K48:K49">
    <cfRule type="expression" dxfId="2600" priority="124">
      <formula>$C68=$E$3</formula>
    </cfRule>
    <cfRule type="expression" dxfId="2599" priority="125">
      <formula>$C68&lt;$E$3</formula>
    </cfRule>
    <cfRule type="cellIs" dxfId="2598" priority="126" operator="equal">
      <formula>0</formula>
    </cfRule>
    <cfRule type="expression" dxfId="2597" priority="127">
      <formula>$C68&gt;$E$3</formula>
    </cfRule>
  </conditionalFormatting>
  <conditionalFormatting sqref="K48:K49">
    <cfRule type="expression" dxfId="2596" priority="123">
      <formula>$C68&lt;$E$3</formula>
    </cfRule>
  </conditionalFormatting>
  <conditionalFormatting sqref="K48:K49">
    <cfRule type="expression" dxfId="2595" priority="119">
      <formula>$C68=$E$3</formula>
    </cfRule>
    <cfRule type="expression" dxfId="2594" priority="120">
      <formula>$C68&lt;$E$3</formula>
    </cfRule>
    <cfRule type="cellIs" dxfId="2593" priority="121" operator="equal">
      <formula>0</formula>
    </cfRule>
    <cfRule type="expression" dxfId="2592" priority="122">
      <formula>$C68&gt;$E$3</formula>
    </cfRule>
  </conditionalFormatting>
  <conditionalFormatting sqref="K48:K49">
    <cfRule type="expression" dxfId="2591" priority="118">
      <formula>$C68&lt;$E$3</formula>
    </cfRule>
  </conditionalFormatting>
  <conditionalFormatting sqref="K48:K49">
    <cfRule type="expression" dxfId="2590" priority="114">
      <formula>$C68=$E$3</formula>
    </cfRule>
    <cfRule type="expression" dxfId="2589" priority="115">
      <formula>$C68&lt;$E$3</formula>
    </cfRule>
    <cfRule type="cellIs" dxfId="2588" priority="116" operator="equal">
      <formula>0</formula>
    </cfRule>
    <cfRule type="expression" dxfId="2587" priority="117">
      <formula>$C68&gt;$E$3</formula>
    </cfRule>
  </conditionalFormatting>
  <conditionalFormatting sqref="K48:K49">
    <cfRule type="expression" dxfId="2586" priority="113">
      <formula>$E68=""</formula>
    </cfRule>
  </conditionalFormatting>
  <conditionalFormatting sqref="K48:K49">
    <cfRule type="expression" dxfId="2585" priority="112">
      <formula>$C68&lt;$E$3</formula>
    </cfRule>
  </conditionalFormatting>
  <conditionalFormatting sqref="K48:K49">
    <cfRule type="expression" dxfId="2584" priority="111">
      <formula>$E68=""</formula>
    </cfRule>
  </conditionalFormatting>
  <conditionalFormatting sqref="K48:K49">
    <cfRule type="expression" dxfId="2583" priority="110">
      <formula>$E68=""</formula>
    </cfRule>
  </conditionalFormatting>
  <conditionalFormatting sqref="K48:K49">
    <cfRule type="expression" dxfId="2582" priority="109">
      <formula>$C68&lt;$E$3</formula>
    </cfRule>
  </conditionalFormatting>
  <conditionalFormatting sqref="K48:K49">
    <cfRule type="expression" dxfId="2581" priority="108">
      <formula>$E68=""</formula>
    </cfRule>
  </conditionalFormatting>
  <conditionalFormatting sqref="K48:K49">
    <cfRule type="expression" dxfId="2580" priority="107">
      <formula>$C68&lt;$E$3</formula>
    </cfRule>
  </conditionalFormatting>
  <conditionalFormatting sqref="K48:K49">
    <cfRule type="expression" dxfId="2579" priority="106">
      <formula>$E68=""</formula>
    </cfRule>
  </conditionalFormatting>
  <conditionalFormatting sqref="K48:K49">
    <cfRule type="expression" dxfId="2578" priority="105">
      <formula>$C68&lt;$E$3</formula>
    </cfRule>
  </conditionalFormatting>
  <conditionalFormatting sqref="K48:K49">
    <cfRule type="expression" dxfId="2577" priority="104">
      <formula>$E68=""</formula>
    </cfRule>
  </conditionalFormatting>
  <conditionalFormatting sqref="J39:N40">
    <cfRule type="expression" dxfId="2576" priority="103">
      <formula>$L$40=0</formula>
    </cfRule>
  </conditionalFormatting>
  <conditionalFormatting sqref="K5:K11">
    <cfRule type="expression" dxfId="2575" priority="100">
      <formula>$C5&lt;$E$3</formula>
    </cfRule>
  </conditionalFormatting>
  <conditionalFormatting sqref="K14:K20">
    <cfRule type="expression" dxfId="2574" priority="83">
      <formula>$C14&lt;$E$3</formula>
    </cfRule>
  </conditionalFormatting>
  <conditionalFormatting sqref="K14:K20">
    <cfRule type="expression" dxfId="2573" priority="69">
      <formula>$E14=""</formula>
    </cfRule>
  </conditionalFormatting>
  <conditionalFormatting sqref="K23:K29">
    <cfRule type="expression" dxfId="2572" priority="58">
      <formula>$C23&lt;$E$3</formula>
    </cfRule>
  </conditionalFormatting>
  <conditionalFormatting sqref="K32:K38">
    <cfRule type="expression" dxfId="2571" priority="45">
      <formula>$E32=""</formula>
    </cfRule>
  </conditionalFormatting>
  <conditionalFormatting sqref="K32:K38">
    <cfRule type="expression" dxfId="2570" priority="43">
      <formula>$E32=""</formula>
    </cfRule>
  </conditionalFormatting>
  <conditionalFormatting sqref="K50:K51">
    <cfRule type="expression" dxfId="2569" priority="7">
      <formula>$C50&lt;$E$3</formula>
    </cfRule>
  </conditionalFormatting>
  <conditionalFormatting sqref="K50:K51">
    <cfRule type="expression" dxfId="2568" priority="4">
      <formula>$C50=$E$3</formula>
    </cfRule>
    <cfRule type="expression" dxfId="2567" priority="5">
      <formula>$C50&lt;$E$3</formula>
    </cfRule>
    <cfRule type="cellIs" dxfId="2566" priority="6" operator="equal">
      <formula>0</formula>
    </cfRule>
    <cfRule type="expression" dxfId="2565" priority="8">
      <formula>$C50&gt;$E$3</formula>
    </cfRule>
  </conditionalFormatting>
  <conditionalFormatting sqref="K50:K51">
    <cfRule type="expression" dxfId="2564" priority="3">
      <formula>$E50=""</formula>
    </cfRule>
  </conditionalFormatting>
  <conditionalFormatting sqref="K50:K51">
    <cfRule type="expression" dxfId="2563" priority="2">
      <formula>$E50=""</formula>
    </cfRule>
  </conditionalFormatting>
  <conditionalFormatting sqref="K50:K51">
    <cfRule type="expression" dxfId="2562" priority="1">
      <formula>$E50=""</formula>
    </cfRule>
  </conditionalFormatting>
  <conditionalFormatting sqref="K5:K11">
    <cfRule type="cellIs" dxfId="2561" priority="102" stopIfTrue="1" operator="lessThan">
      <formula>0</formula>
    </cfRule>
  </conditionalFormatting>
  <conditionalFormatting sqref="K5:K11">
    <cfRule type="expression" dxfId="2560" priority="97">
      <formula>$C5=$E$3</formula>
    </cfRule>
    <cfRule type="expression" dxfId="2559" priority="98">
      <formula>$C5&lt;$E$3</formula>
    </cfRule>
    <cfRule type="cellIs" dxfId="2558" priority="99" operator="equal">
      <formula>0</formula>
    </cfRule>
    <cfRule type="expression" dxfId="2557" priority="101">
      <formula>$C5&gt;$E$3</formula>
    </cfRule>
  </conditionalFormatting>
  <conditionalFormatting sqref="K5:K11">
    <cfRule type="expression" dxfId="2556" priority="96">
      <formula>$E5=""</formula>
    </cfRule>
  </conditionalFormatting>
  <conditionalFormatting sqref="K5:K11">
    <cfRule type="expression" dxfId="2555" priority="95">
      <formula>$E5=""</formula>
    </cfRule>
  </conditionalFormatting>
  <conditionalFormatting sqref="K5:K11">
    <cfRule type="expression" dxfId="2554" priority="94">
      <formula>$E5=""</formula>
    </cfRule>
  </conditionalFormatting>
  <conditionalFormatting sqref="K5:K11">
    <cfRule type="expression" dxfId="2553" priority="92">
      <formula>$C5&lt;$E$3</formula>
    </cfRule>
  </conditionalFormatting>
  <conditionalFormatting sqref="K5:K11">
    <cfRule type="expression" dxfId="2552" priority="89">
      <formula>$C5=$E$3</formula>
    </cfRule>
    <cfRule type="expression" dxfId="2551" priority="90">
      <formula>$C5&lt;$E$3</formula>
    </cfRule>
    <cfRule type="cellIs" dxfId="2550" priority="91" operator="equal">
      <formula>0</formula>
    </cfRule>
    <cfRule type="expression" dxfId="2549" priority="93">
      <formula>$C5&gt;$E$3</formula>
    </cfRule>
  </conditionalFormatting>
  <conditionalFormatting sqref="K5:K11">
    <cfRule type="expression" dxfId="2548" priority="88">
      <formula>$E5=""</formula>
    </cfRule>
  </conditionalFormatting>
  <conditionalFormatting sqref="K5:K11">
    <cfRule type="expression" dxfId="2547" priority="87">
      <formula>$E5=""</formula>
    </cfRule>
  </conditionalFormatting>
  <conditionalFormatting sqref="K5:K11">
    <cfRule type="expression" dxfId="2546" priority="86">
      <formula>$E5=""</formula>
    </cfRule>
  </conditionalFormatting>
  <conditionalFormatting sqref="K14:K20">
    <cfRule type="cellIs" dxfId="2545" priority="85" stopIfTrue="1" operator="lessThan">
      <formula>0</formula>
    </cfRule>
  </conditionalFormatting>
  <conditionalFormatting sqref="K14:K20">
    <cfRule type="expression" dxfId="2544" priority="80">
      <formula>$C14=$E$3</formula>
    </cfRule>
    <cfRule type="expression" dxfId="2543" priority="81">
      <formula>$C14&lt;$E$3</formula>
    </cfRule>
    <cfRule type="cellIs" dxfId="2542" priority="82" operator="equal">
      <formula>0</formula>
    </cfRule>
    <cfRule type="expression" dxfId="2541" priority="84">
      <formula>$C14&gt;$E$3</formula>
    </cfRule>
  </conditionalFormatting>
  <conditionalFormatting sqref="K14:K20">
    <cfRule type="expression" dxfId="2540" priority="79">
      <formula>$E14=""</formula>
    </cfRule>
  </conditionalFormatting>
  <conditionalFormatting sqref="K14:K20">
    <cfRule type="expression" dxfId="2539" priority="78">
      <formula>$E14=""</formula>
    </cfRule>
  </conditionalFormatting>
  <conditionalFormatting sqref="K14:K20">
    <cfRule type="expression" dxfId="2538" priority="77">
      <formula>$E14=""</formula>
    </cfRule>
  </conditionalFormatting>
  <conditionalFormatting sqref="K14:K20">
    <cfRule type="expression" dxfId="2537" priority="75">
      <formula>$C14&lt;$E$3</formula>
    </cfRule>
  </conditionalFormatting>
  <conditionalFormatting sqref="K14:K20">
    <cfRule type="expression" dxfId="2536" priority="72">
      <formula>$C14=$E$3</formula>
    </cfRule>
    <cfRule type="expression" dxfId="2535" priority="73">
      <formula>$C14&lt;$E$3</formula>
    </cfRule>
    <cfRule type="cellIs" dxfId="2534" priority="74" operator="equal">
      <formula>0</formula>
    </cfRule>
    <cfRule type="expression" dxfId="2533" priority="76">
      <formula>$C14&gt;$E$3</formula>
    </cfRule>
  </conditionalFormatting>
  <conditionalFormatting sqref="K14:K20">
    <cfRule type="expression" dxfId="2532" priority="71">
      <formula>$E14=""</formula>
    </cfRule>
  </conditionalFormatting>
  <conditionalFormatting sqref="K14:K20">
    <cfRule type="expression" dxfId="2531" priority="70">
      <formula>$E14=""</formula>
    </cfRule>
  </conditionalFormatting>
  <conditionalFormatting sqref="K23:K29">
    <cfRule type="cellIs" dxfId="2530" priority="68" stopIfTrue="1" operator="lessThan">
      <formula>0</formula>
    </cfRule>
  </conditionalFormatting>
  <conditionalFormatting sqref="K23:K29">
    <cfRule type="expression" dxfId="2529" priority="66">
      <formula>$C23&lt;$E$3</formula>
    </cfRule>
  </conditionalFormatting>
  <conditionalFormatting sqref="K23:K29">
    <cfRule type="expression" dxfId="2528" priority="63">
      <formula>$C23=$E$3</formula>
    </cfRule>
    <cfRule type="expression" dxfId="2527" priority="64">
      <formula>$C23&lt;$E$3</formula>
    </cfRule>
    <cfRule type="cellIs" dxfId="2526" priority="65" operator="equal">
      <formula>0</formula>
    </cfRule>
    <cfRule type="expression" dxfId="2525" priority="67">
      <formula>$C23&gt;$E$3</formula>
    </cfRule>
  </conditionalFormatting>
  <conditionalFormatting sqref="K23:K29">
    <cfRule type="expression" dxfId="2524" priority="62">
      <formula>$E23=""</formula>
    </cfRule>
  </conditionalFormatting>
  <conditionalFormatting sqref="K23:K29">
    <cfRule type="expression" dxfId="2523" priority="61">
      <formula>$E23=""</formula>
    </cfRule>
  </conditionalFormatting>
  <conditionalFormatting sqref="K23:K29">
    <cfRule type="expression" dxfId="2522" priority="60">
      <formula>$E23=""</formula>
    </cfRule>
  </conditionalFormatting>
  <conditionalFormatting sqref="K23:K29">
    <cfRule type="expression" dxfId="2521" priority="55">
      <formula>$C23=$E$3</formula>
    </cfRule>
    <cfRule type="expression" dxfId="2520" priority="56">
      <formula>$C23&lt;$E$3</formula>
    </cfRule>
    <cfRule type="cellIs" dxfId="2519" priority="57" operator="equal">
      <formula>0</formula>
    </cfRule>
    <cfRule type="expression" dxfId="2518" priority="59">
      <formula>$C23&gt;$E$3</formula>
    </cfRule>
  </conditionalFormatting>
  <conditionalFormatting sqref="K23:K29">
    <cfRule type="expression" dxfId="2517" priority="54">
      <formula>$E23=""</formula>
    </cfRule>
  </conditionalFormatting>
  <conditionalFormatting sqref="K23:K29">
    <cfRule type="expression" dxfId="2516" priority="53">
      <formula>$E23=""</formula>
    </cfRule>
  </conditionalFormatting>
  <conditionalFormatting sqref="K23:K29">
    <cfRule type="expression" dxfId="2515" priority="52">
      <formula>$E23=""</formula>
    </cfRule>
  </conditionalFormatting>
  <conditionalFormatting sqref="K32:K38">
    <cfRule type="cellIs" dxfId="2514" priority="51" stopIfTrue="1" operator="lessThan">
      <formula>0</formula>
    </cfRule>
  </conditionalFormatting>
  <conditionalFormatting sqref="K32:K38">
    <cfRule type="expression" dxfId="2513" priority="49">
      <formula>$C32&lt;$E$3</formula>
    </cfRule>
  </conditionalFormatting>
  <conditionalFormatting sqref="K32:K38">
    <cfRule type="expression" dxfId="2512" priority="46">
      <formula>$C32=$E$3</formula>
    </cfRule>
    <cfRule type="expression" dxfId="2511" priority="47">
      <formula>$C32&lt;$E$3</formula>
    </cfRule>
    <cfRule type="cellIs" dxfId="2510" priority="48" operator="equal">
      <formula>0</formula>
    </cfRule>
    <cfRule type="expression" dxfId="2509" priority="50">
      <formula>$C32&gt;$E$3</formula>
    </cfRule>
  </conditionalFormatting>
  <conditionalFormatting sqref="K32:K38">
    <cfRule type="expression" dxfId="2508" priority="44">
      <formula>$E32=""</formula>
    </cfRule>
  </conditionalFormatting>
  <conditionalFormatting sqref="K32:K38">
    <cfRule type="expression" dxfId="2507" priority="41">
      <formula>$C32&lt;$E$3</formula>
    </cfRule>
  </conditionalFormatting>
  <conditionalFormatting sqref="K32:K38">
    <cfRule type="expression" dxfId="2506" priority="38">
      <formula>$C32=$E$3</formula>
    </cfRule>
    <cfRule type="expression" dxfId="2505" priority="39">
      <formula>$C32&lt;$E$3</formula>
    </cfRule>
    <cfRule type="cellIs" dxfId="2504" priority="40" operator="equal">
      <formula>0</formula>
    </cfRule>
    <cfRule type="expression" dxfId="2503" priority="42">
      <formula>$C32&gt;$E$3</formula>
    </cfRule>
  </conditionalFormatting>
  <conditionalFormatting sqref="K32:K38">
    <cfRule type="expression" dxfId="2502" priority="37">
      <formula>$E32=""</formula>
    </cfRule>
  </conditionalFormatting>
  <conditionalFormatting sqref="K32:K38">
    <cfRule type="expression" dxfId="2501" priority="36">
      <formula>$E32=""</formula>
    </cfRule>
  </conditionalFormatting>
  <conditionalFormatting sqref="K32:K38">
    <cfRule type="expression" dxfId="2500" priority="35">
      <formula>$E32=""</formula>
    </cfRule>
  </conditionalFormatting>
  <conditionalFormatting sqref="K41:K47">
    <cfRule type="cellIs" dxfId="2499" priority="34" stopIfTrue="1" operator="lessThan">
      <formula>0</formula>
    </cfRule>
  </conditionalFormatting>
  <conditionalFormatting sqref="K41:K47">
    <cfRule type="expression" dxfId="2498" priority="32">
      <formula>$C41&lt;$E$3</formula>
    </cfRule>
  </conditionalFormatting>
  <conditionalFormatting sqref="K41:K47">
    <cfRule type="expression" dxfId="2497" priority="29">
      <formula>$C41=$E$3</formula>
    </cfRule>
    <cfRule type="expression" dxfId="2496" priority="30">
      <formula>$C41&lt;$E$3</formula>
    </cfRule>
    <cfRule type="cellIs" dxfId="2495" priority="31" operator="equal">
      <formula>0</formula>
    </cfRule>
    <cfRule type="expression" dxfId="2494" priority="33">
      <formula>$C41&gt;$E$3</formula>
    </cfRule>
  </conditionalFormatting>
  <conditionalFormatting sqref="K41:K47">
    <cfRule type="expression" dxfId="2493" priority="28">
      <formula>$E41=""</formula>
    </cfRule>
  </conditionalFormatting>
  <conditionalFormatting sqref="K41:K47">
    <cfRule type="expression" dxfId="2492" priority="27">
      <formula>$E41=""</formula>
    </cfRule>
  </conditionalFormatting>
  <conditionalFormatting sqref="K41:K47">
    <cfRule type="expression" dxfId="2491" priority="26">
      <formula>$E41=""</formula>
    </cfRule>
  </conditionalFormatting>
  <conditionalFormatting sqref="K41:K47">
    <cfRule type="expression" dxfId="2490" priority="24">
      <formula>$C41&lt;$E$3</formula>
    </cfRule>
  </conditionalFormatting>
  <conditionalFormatting sqref="K41:K47">
    <cfRule type="expression" dxfId="2489" priority="21">
      <formula>$C41=$E$3</formula>
    </cfRule>
    <cfRule type="expression" dxfId="2488" priority="22">
      <formula>$C41&lt;$E$3</formula>
    </cfRule>
    <cfRule type="cellIs" dxfId="2487" priority="23" operator="equal">
      <formula>0</formula>
    </cfRule>
    <cfRule type="expression" dxfId="2486" priority="25">
      <formula>$C41&gt;$E$3</formula>
    </cfRule>
  </conditionalFormatting>
  <conditionalFormatting sqref="K41:K47">
    <cfRule type="expression" dxfId="2485" priority="20">
      <formula>$E41=""</formula>
    </cfRule>
  </conditionalFormatting>
  <conditionalFormatting sqref="K41:K47">
    <cfRule type="expression" dxfId="2484" priority="19">
      <formula>$E41=""</formula>
    </cfRule>
  </conditionalFormatting>
  <conditionalFormatting sqref="K41:K47">
    <cfRule type="expression" dxfId="2483" priority="18">
      <formula>$E41=""</formula>
    </cfRule>
  </conditionalFormatting>
  <conditionalFormatting sqref="K50:K51">
    <cfRule type="cellIs" dxfId="2482" priority="17" stopIfTrue="1" operator="lessThan">
      <formula>0</formula>
    </cfRule>
  </conditionalFormatting>
  <conditionalFormatting sqref="K50:K51">
    <cfRule type="expression" dxfId="2481" priority="15">
      <formula>$C50&lt;$E$3</formula>
    </cfRule>
  </conditionalFormatting>
  <conditionalFormatting sqref="K50:K51">
    <cfRule type="expression" dxfId="2480" priority="12">
      <formula>$C50=$E$3</formula>
    </cfRule>
    <cfRule type="expression" dxfId="2479" priority="13">
      <formula>$C50&lt;$E$3</formula>
    </cfRule>
    <cfRule type="cellIs" dxfId="2478" priority="14" operator="equal">
      <formula>0</formula>
    </cfRule>
    <cfRule type="expression" dxfId="2477" priority="16">
      <formula>$C50&gt;$E$3</formula>
    </cfRule>
  </conditionalFormatting>
  <conditionalFormatting sqref="K50:K51">
    <cfRule type="expression" dxfId="2476" priority="11">
      <formula>$E50=""</formula>
    </cfRule>
  </conditionalFormatting>
  <conditionalFormatting sqref="K50:K51">
    <cfRule type="expression" dxfId="2475" priority="10">
      <formula>$E50=""</formula>
    </cfRule>
  </conditionalFormatting>
  <conditionalFormatting sqref="K50:K51">
    <cfRule type="expression" dxfId="2474" priority="9">
      <formula>$E50=""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BB66"/>
  <sheetViews>
    <sheetView zoomScale="75" zoomScaleNormal="75" zoomScalePageLayoutView="75" workbookViewId="0">
      <pane ySplit="4" topLeftCell="A5" activePane="bottomLeft" state="frozen"/>
      <selection activeCell="K1" sqref="K1"/>
      <selection pane="bottomLeft" activeCell="F26" sqref="F26"/>
    </sheetView>
  </sheetViews>
  <sheetFormatPr baseColWidth="10" defaultColWidth="8.83203125" defaultRowHeight="15" x14ac:dyDescent="0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.1640625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51" ht="53.25" customHeight="1" thickBot="1">
      <c r="A1" s="283">
        <v>11</v>
      </c>
      <c r="B1" s="50" t="s">
        <v>0</v>
      </c>
      <c r="C1" s="51" t="s">
        <v>0</v>
      </c>
      <c r="D1" s="51"/>
      <c r="E1" s="363" t="str">
        <f>VLOOKUP(A1,'MY STATS'!$B$29:$E$40,4)</f>
        <v>Nov.</v>
      </c>
      <c r="F1" s="141" t="s">
        <v>78</v>
      </c>
      <c r="G1" s="142" t="s">
        <v>77</v>
      </c>
      <c r="H1" s="143" t="s">
        <v>79</v>
      </c>
      <c r="I1" s="144"/>
      <c r="J1" s="144" t="s">
        <v>113</v>
      </c>
      <c r="K1" s="127" t="s">
        <v>109</v>
      </c>
      <c r="L1" s="142" t="s">
        <v>114</v>
      </c>
      <c r="M1" s="127" t="s">
        <v>110</v>
      </c>
      <c r="N1" s="321" t="s">
        <v>59</v>
      </c>
      <c r="O1" s="244" t="s">
        <v>31</v>
      </c>
      <c r="P1" s="250" t="s">
        <v>32</v>
      </c>
      <c r="Q1" s="250" t="s">
        <v>32</v>
      </c>
      <c r="R1" s="343" t="s">
        <v>38</v>
      </c>
      <c r="S1" s="364" t="s">
        <v>149</v>
      </c>
      <c r="T1" s="343"/>
      <c r="U1" s="343"/>
      <c r="V1" s="343" t="s">
        <v>107</v>
      </c>
      <c r="W1" s="343" t="s">
        <v>108</v>
      </c>
      <c r="X1" s="250" t="s">
        <v>30</v>
      </c>
      <c r="Y1" s="250" t="s">
        <v>27</v>
      </c>
      <c r="Z1" s="250" t="s">
        <v>28</v>
      </c>
      <c r="AA1" s="344" t="s">
        <v>29</v>
      </c>
      <c r="AB1" s="230"/>
      <c r="AC1" s="97"/>
      <c r="AD1" s="97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</row>
    <row r="2" spans="1:51" ht="32" hidden="1" thickTop="1" thickBot="1">
      <c r="A2" s="95" t="s">
        <v>75</v>
      </c>
      <c r="B2" s="25">
        <f>VLOOKUP(A1,'MY STATS'!$B$29:$G$40,3)</f>
        <v>43405</v>
      </c>
      <c r="D2" s="45"/>
      <c r="E2" s="2" t="s">
        <v>19</v>
      </c>
      <c r="F2" s="95" t="s">
        <v>74</v>
      </c>
      <c r="G2" s="93" t="s">
        <v>61</v>
      </c>
      <c r="H2" s="64" t="s">
        <v>60</v>
      </c>
      <c r="I2" s="64"/>
      <c r="J2" s="64"/>
      <c r="K2" s="64"/>
      <c r="L2" s="64"/>
      <c r="M2" s="64"/>
      <c r="N2" s="322"/>
      <c r="O2" s="345"/>
      <c r="P2" s="230"/>
      <c r="Q2" s="230"/>
      <c r="R2" s="346">
        <f>'MY STATS'!A15</f>
        <v>1</v>
      </c>
      <c r="S2" s="346"/>
      <c r="T2" s="346"/>
      <c r="U2" s="346"/>
      <c r="V2" s="346"/>
      <c r="W2" s="346"/>
      <c r="X2" s="230"/>
      <c r="Y2" s="230"/>
      <c r="Z2" s="234"/>
      <c r="AA2" s="234"/>
      <c r="AB2" s="230"/>
      <c r="AC2" s="97"/>
      <c r="AD2" s="97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</row>
    <row r="3" spans="1:51" ht="17" hidden="1" thickTop="1" thickBot="1">
      <c r="A3" s="96">
        <f>'MY STATS'!D41</f>
        <v>43466</v>
      </c>
      <c r="B3" s="25">
        <f>VLOOKUP(A1+1,'MY STATS'!$B$29:$G$41,3)-1</f>
        <v>43434</v>
      </c>
      <c r="C3" s="25">
        <f>VLOOKUP(A1,'MY STATS'!$B$29:$G$40,2)</f>
        <v>43402</v>
      </c>
      <c r="D3" s="46"/>
      <c r="E3" s="4">
        <f ca="1">TODAY()</f>
        <v>43138</v>
      </c>
      <c r="F3" s="65">
        <f>'MY STATS'!B$11</f>
        <v>587410.55929510726</v>
      </c>
      <c r="G3" s="65">
        <f>VLOOKUP(A1-1,'MY STATS'!B$28:J$40,9)</f>
        <v>0</v>
      </c>
      <c r="H3" s="66">
        <f>VLOOKUP($A$1-1,'MY STATS'!$B$28:$I$41,8)</f>
        <v>0</v>
      </c>
      <c r="I3" s="66"/>
      <c r="J3" s="66"/>
      <c r="K3" s="66"/>
      <c r="L3" s="65"/>
      <c r="M3" s="65"/>
      <c r="N3" s="323"/>
      <c r="O3" s="345"/>
      <c r="P3" s="230"/>
      <c r="Q3" s="230"/>
      <c r="R3" s="346"/>
      <c r="S3" s="346"/>
      <c r="T3" s="346"/>
      <c r="U3" s="346"/>
      <c r="V3" s="346"/>
      <c r="W3" s="346"/>
      <c r="X3" s="230"/>
      <c r="Y3" s="230"/>
      <c r="Z3" s="234"/>
      <c r="AA3" s="234"/>
      <c r="AB3" s="230"/>
      <c r="AC3" s="97"/>
      <c r="AD3" s="97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</row>
    <row r="4" spans="1:51" ht="14" hidden="1" customHeight="1" thickTop="1" thickBot="1">
      <c r="A4" s="3"/>
      <c r="C4" s="37">
        <f>C3-1</f>
        <v>43401</v>
      </c>
      <c r="D4" s="3"/>
      <c r="O4" s="347"/>
      <c r="P4" s="260">
        <f t="shared" ref="P4:P11" si="0">H$56</f>
        <v>288890.12519967917</v>
      </c>
      <c r="Q4" s="169">
        <f>IF(R$2=3,P4,IF(R$2=2,P4*1.0936,IF(R$2=1,P4*0.000568181818*1.0936133,"")))</f>
        <v>179.50800173632695</v>
      </c>
      <c r="R4" s="246"/>
      <c r="S4" s="246"/>
      <c r="T4" s="246"/>
      <c r="U4" s="246"/>
      <c r="V4" s="246"/>
      <c r="W4" s="246"/>
      <c r="X4" s="260"/>
      <c r="Y4" s="260"/>
      <c r="Z4" s="259">
        <v>0</v>
      </c>
      <c r="AA4" s="234"/>
      <c r="AB4" s="230">
        <v>0</v>
      </c>
      <c r="AC4" s="97"/>
      <c r="AD4" s="97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</row>
    <row r="5" spans="1:51" ht="16" thickTop="1">
      <c r="A5" s="26" t="s">
        <v>8</v>
      </c>
      <c r="B5" s="23">
        <f>IF(B$2&gt;C5,0,C5)</f>
        <v>0</v>
      </c>
      <c r="C5" s="37">
        <f>C3</f>
        <v>43402</v>
      </c>
      <c r="D5" s="24">
        <f t="shared" ref="D5:D51" ca="1" si="1">TODAY()-C5</f>
        <v>-264</v>
      </c>
      <c r="E5" s="115" t="str">
        <f>IF(B5=0,"","Monday")</f>
        <v/>
      </c>
      <c r="F5" s="55"/>
      <c r="G5" s="56"/>
      <c r="H5" s="56"/>
      <c r="I5" s="199"/>
      <c r="J5" s="56"/>
      <c r="K5" s="201" t="str">
        <f t="shared" ref="K5" si="2">IF(R5=0,"",IF(L5="","",J5))</f>
        <v/>
      </c>
      <c r="L5" s="56"/>
      <c r="M5" s="56" t="str">
        <f>IF(R5=0,"",IF(J5="","",L5))</f>
        <v/>
      </c>
      <c r="N5" s="324"/>
      <c r="O5" s="259" t="str">
        <f t="shared" ref="O5:O51" si="3">IF(B5=0,"",(F$3-G$3)/(A$3-B$2)+0.1)</f>
        <v/>
      </c>
      <c r="P5" s="260">
        <f t="shared" si="0"/>
        <v>288890.12519967917</v>
      </c>
      <c r="Q5" s="169">
        <f t="shared" ref="Q5:Q51" si="4">IF(R$2=3,P5,IF(R$2=2,P5*1.0936,IF(R$2=1,P5*0.000568181818*1.0936133,"")))</f>
        <v>179.50800173632695</v>
      </c>
      <c r="R5" s="169">
        <f>IF(R$2=3,H5+G5/1.0936133+F5/0.0006213712,IF(R$2=2,H5*1.0936133+G5+F5/0.0005681818,IF(R$2=1,H5*0.0005681818*1.0936133+G5*0.0005681818+F5,"")))</f>
        <v>0</v>
      </c>
      <c r="S5" s="368" t="str">
        <f>IF(R5=0,"",R5*IF(L5&gt;0,1,0))</f>
        <v/>
      </c>
      <c r="T5" s="169"/>
      <c r="U5" s="169"/>
      <c r="V5" s="170" t="str">
        <f t="shared" ref="V5:V11" si="5">IF(L5="","",IF(R5=0,"",IF(B5=0,"",IF($R$2=3,R5/L5*60/1000,IF($R$2=2,R5/L5*60/1760,IF($R$2=1,R5/L5*60,""))))))</f>
        <v/>
      </c>
      <c r="W5" s="170" t="str">
        <f t="shared" ref="W5:W11" si="6">IF(R5=0,"",IF(L5="","",V5*L5))</f>
        <v/>
      </c>
      <c r="X5" s="259">
        <f t="shared" ref="X5:Z11" si="7">F5+X4</f>
        <v>0</v>
      </c>
      <c r="Y5" s="259">
        <f t="shared" si="7"/>
        <v>0</v>
      </c>
      <c r="Z5" s="259">
        <f t="shared" si="7"/>
        <v>0</v>
      </c>
      <c r="AA5" s="348">
        <f t="shared" ref="AA5:AA51" si="8">Z5/1000+Y5/1093.6133+X5/0.621371192</f>
        <v>0</v>
      </c>
      <c r="AB5" s="349">
        <f>R5</f>
        <v>0</v>
      </c>
      <c r="AC5" s="97"/>
      <c r="AD5" s="97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</row>
    <row r="6" spans="1:51">
      <c r="A6" s="27"/>
      <c r="B6" s="5">
        <f t="shared" ref="B6:B11" si="9">IF(B$2&gt;C6,0,C6)</f>
        <v>0</v>
      </c>
      <c r="C6" s="38">
        <f>C3+1</f>
        <v>43403</v>
      </c>
      <c r="D6" s="7">
        <f t="shared" ca="1" si="1"/>
        <v>-265</v>
      </c>
      <c r="E6" s="114" t="str">
        <f>IF(B6=0,"","Tuesday")</f>
        <v/>
      </c>
      <c r="F6" s="55"/>
      <c r="G6" s="56"/>
      <c r="H6" s="56"/>
      <c r="I6" s="200"/>
      <c r="J6" s="56"/>
      <c r="K6" s="201" t="str">
        <f>IF(R6=0,"",IF(L6="","",J6))</f>
        <v/>
      </c>
      <c r="L6" s="56"/>
      <c r="M6" s="56" t="str">
        <f t="shared" ref="M6:M11" si="10">IF(R6=0,"",IF(J6="","",L6))</f>
        <v/>
      </c>
      <c r="N6" s="324"/>
      <c r="O6" s="259" t="str">
        <f t="shared" si="3"/>
        <v/>
      </c>
      <c r="P6" s="260">
        <f t="shared" si="0"/>
        <v>288890.12519967917</v>
      </c>
      <c r="Q6" s="169">
        <f t="shared" si="4"/>
        <v>179.50800173632695</v>
      </c>
      <c r="R6" s="169">
        <f t="shared" ref="R6:R11" si="11">IF(R$2=3,H6+G6/1.0936133+F6/0.0006213712,IF(R$2=2,H6*1.0936133+G6+F6/0.0005681818,IF(R$2=1,H6*0.0005681818*1.0936133+G6*0.0005681818+F6,"")))</f>
        <v>0</v>
      </c>
      <c r="S6" s="368" t="str">
        <f t="shared" ref="S6:S51" si="12">IF(R6=0,"",R6*IF(L6&gt;0,1,0))</f>
        <v/>
      </c>
      <c r="T6" s="169"/>
      <c r="U6" s="169"/>
      <c r="V6" s="170" t="str">
        <f t="shared" si="5"/>
        <v/>
      </c>
      <c r="W6" s="170" t="str">
        <f t="shared" si="6"/>
        <v/>
      </c>
      <c r="X6" s="259">
        <f t="shared" si="7"/>
        <v>0</v>
      </c>
      <c r="Y6" s="259">
        <f t="shared" si="7"/>
        <v>0</v>
      </c>
      <c r="Z6" s="259">
        <f t="shared" si="7"/>
        <v>0</v>
      </c>
      <c r="AA6" s="348">
        <f t="shared" si="8"/>
        <v>0</v>
      </c>
      <c r="AB6" s="274">
        <f t="shared" ref="AB6:AB51" si="13">AB5+R6</f>
        <v>0</v>
      </c>
      <c r="AC6" s="97"/>
      <c r="AD6" s="97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</row>
    <row r="7" spans="1:51">
      <c r="A7" s="27"/>
      <c r="B7" s="5">
        <f t="shared" si="9"/>
        <v>0</v>
      </c>
      <c r="C7" s="38">
        <f>C3+2</f>
        <v>43404</v>
      </c>
      <c r="D7" s="7">
        <f t="shared" ca="1" si="1"/>
        <v>-266</v>
      </c>
      <c r="E7" s="114" t="str">
        <f>IF(B7=0,"","Wednesday")</f>
        <v/>
      </c>
      <c r="F7" s="55"/>
      <c r="G7" s="56"/>
      <c r="H7" s="56"/>
      <c r="I7" s="200"/>
      <c r="J7" s="56"/>
      <c r="K7" s="201" t="str">
        <f t="shared" ref="K7:K11" si="14">IF(R7=0,"",IF(L7="","",J7))</f>
        <v/>
      </c>
      <c r="L7" s="56"/>
      <c r="M7" s="56" t="str">
        <f t="shared" si="10"/>
        <v/>
      </c>
      <c r="N7" s="325"/>
      <c r="O7" s="259" t="str">
        <f t="shared" si="3"/>
        <v/>
      </c>
      <c r="P7" s="260">
        <f t="shared" si="0"/>
        <v>288890.12519967917</v>
      </c>
      <c r="Q7" s="169">
        <f t="shared" si="4"/>
        <v>179.50800173632695</v>
      </c>
      <c r="R7" s="169">
        <f t="shared" si="11"/>
        <v>0</v>
      </c>
      <c r="S7" s="368" t="str">
        <f t="shared" si="12"/>
        <v/>
      </c>
      <c r="T7" s="169"/>
      <c r="U7" s="169"/>
      <c r="V7" s="170" t="str">
        <f t="shared" si="5"/>
        <v/>
      </c>
      <c r="W7" s="170" t="str">
        <f t="shared" si="6"/>
        <v/>
      </c>
      <c r="X7" s="259">
        <f t="shared" si="7"/>
        <v>0</v>
      </c>
      <c r="Y7" s="259">
        <f t="shared" si="7"/>
        <v>0</v>
      </c>
      <c r="Z7" s="259">
        <f t="shared" si="7"/>
        <v>0</v>
      </c>
      <c r="AA7" s="348">
        <f t="shared" si="8"/>
        <v>0</v>
      </c>
      <c r="AB7" s="274">
        <f t="shared" si="13"/>
        <v>0</v>
      </c>
      <c r="AC7" s="97"/>
      <c r="AD7" s="97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</row>
    <row r="8" spans="1:51">
      <c r="A8" s="27"/>
      <c r="B8" s="5">
        <f t="shared" si="9"/>
        <v>43405</v>
      </c>
      <c r="C8" s="38">
        <f>C3+3</f>
        <v>43405</v>
      </c>
      <c r="D8" s="7">
        <f t="shared" ca="1" si="1"/>
        <v>-267</v>
      </c>
      <c r="E8" s="114" t="str">
        <f>IF(B8=0,"","Thursday")</f>
        <v>Thursday</v>
      </c>
      <c r="F8" s="55"/>
      <c r="G8" s="56"/>
      <c r="H8" s="56"/>
      <c r="I8" s="200"/>
      <c r="J8" s="56"/>
      <c r="K8" s="201" t="str">
        <f t="shared" si="14"/>
        <v/>
      </c>
      <c r="L8" s="56"/>
      <c r="M8" s="56" t="str">
        <f t="shared" si="10"/>
        <v/>
      </c>
      <c r="N8" s="325"/>
      <c r="O8" s="259">
        <f t="shared" si="3"/>
        <v>9629.7812999197922</v>
      </c>
      <c r="P8" s="260">
        <f t="shared" si="0"/>
        <v>288890.12519967917</v>
      </c>
      <c r="Q8" s="169">
        <f t="shared" si="4"/>
        <v>179.50800173632695</v>
      </c>
      <c r="R8" s="169">
        <f t="shared" si="11"/>
        <v>0</v>
      </c>
      <c r="S8" s="368" t="str">
        <f t="shared" si="12"/>
        <v/>
      </c>
      <c r="T8" s="169"/>
      <c r="U8" s="169"/>
      <c r="V8" s="170" t="str">
        <f t="shared" si="5"/>
        <v/>
      </c>
      <c r="W8" s="170" t="str">
        <f t="shared" si="6"/>
        <v/>
      </c>
      <c r="X8" s="259">
        <f t="shared" si="7"/>
        <v>0</v>
      </c>
      <c r="Y8" s="259">
        <f t="shared" si="7"/>
        <v>0</v>
      </c>
      <c r="Z8" s="259">
        <f t="shared" si="7"/>
        <v>0</v>
      </c>
      <c r="AA8" s="348">
        <f t="shared" si="8"/>
        <v>0</v>
      </c>
      <c r="AB8" s="274">
        <f t="shared" si="13"/>
        <v>0</v>
      </c>
      <c r="AC8" s="97"/>
      <c r="AD8" s="97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</row>
    <row r="9" spans="1:51">
      <c r="A9" s="27"/>
      <c r="B9" s="5">
        <f t="shared" si="9"/>
        <v>43406</v>
      </c>
      <c r="C9" s="38">
        <f>C3+4</f>
        <v>43406</v>
      </c>
      <c r="D9" s="7">
        <f t="shared" ca="1" si="1"/>
        <v>-268</v>
      </c>
      <c r="E9" s="114" t="str">
        <f>IF(B9=0,"","Friday")</f>
        <v>Friday</v>
      </c>
      <c r="F9" s="55"/>
      <c r="G9" s="56"/>
      <c r="H9" s="56"/>
      <c r="I9" s="200"/>
      <c r="J9" s="56"/>
      <c r="K9" s="201" t="str">
        <f t="shared" si="14"/>
        <v/>
      </c>
      <c r="L9" s="56"/>
      <c r="M9" s="56" t="str">
        <f t="shared" si="10"/>
        <v/>
      </c>
      <c r="N9" s="324"/>
      <c r="O9" s="259">
        <f t="shared" si="3"/>
        <v>9629.7812999197922</v>
      </c>
      <c r="P9" s="260">
        <f t="shared" si="0"/>
        <v>288890.12519967917</v>
      </c>
      <c r="Q9" s="169">
        <f t="shared" si="4"/>
        <v>179.50800173632695</v>
      </c>
      <c r="R9" s="169">
        <f t="shared" si="11"/>
        <v>0</v>
      </c>
      <c r="S9" s="368" t="str">
        <f t="shared" si="12"/>
        <v/>
      </c>
      <c r="T9" s="169"/>
      <c r="U9" s="169"/>
      <c r="V9" s="170" t="str">
        <f t="shared" si="5"/>
        <v/>
      </c>
      <c r="W9" s="170" t="str">
        <f t="shared" si="6"/>
        <v/>
      </c>
      <c r="X9" s="259">
        <f t="shared" si="7"/>
        <v>0</v>
      </c>
      <c r="Y9" s="259">
        <f t="shared" si="7"/>
        <v>0</v>
      </c>
      <c r="Z9" s="259">
        <f t="shared" si="7"/>
        <v>0</v>
      </c>
      <c r="AA9" s="348">
        <f t="shared" si="8"/>
        <v>0</v>
      </c>
      <c r="AB9" s="274">
        <f t="shared" si="13"/>
        <v>0</v>
      </c>
      <c r="AC9" s="97"/>
      <c r="AD9" s="97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</row>
    <row r="10" spans="1:51">
      <c r="A10" s="27"/>
      <c r="B10" s="5">
        <f t="shared" si="9"/>
        <v>43407</v>
      </c>
      <c r="C10" s="38">
        <f>C3+5</f>
        <v>43407</v>
      </c>
      <c r="D10" s="7">
        <f t="shared" ca="1" si="1"/>
        <v>-269</v>
      </c>
      <c r="E10" s="114" t="str">
        <f>IF(B10=0,"","Saturday")</f>
        <v>Saturday</v>
      </c>
      <c r="F10" s="55"/>
      <c r="G10" s="56"/>
      <c r="H10" s="56"/>
      <c r="I10" s="200"/>
      <c r="J10" s="56"/>
      <c r="K10" s="201" t="str">
        <f t="shared" si="14"/>
        <v/>
      </c>
      <c r="L10" s="56"/>
      <c r="M10" s="56" t="str">
        <f t="shared" si="10"/>
        <v/>
      </c>
      <c r="N10" s="324"/>
      <c r="O10" s="259">
        <f t="shared" si="3"/>
        <v>9629.7812999197922</v>
      </c>
      <c r="P10" s="260">
        <f t="shared" si="0"/>
        <v>288890.12519967917</v>
      </c>
      <c r="Q10" s="169">
        <f t="shared" si="4"/>
        <v>179.50800173632695</v>
      </c>
      <c r="R10" s="169">
        <f t="shared" si="11"/>
        <v>0</v>
      </c>
      <c r="S10" s="368" t="str">
        <f t="shared" si="12"/>
        <v/>
      </c>
      <c r="T10" s="169"/>
      <c r="U10" s="169"/>
      <c r="V10" s="170" t="str">
        <f t="shared" si="5"/>
        <v/>
      </c>
      <c r="W10" s="170" t="str">
        <f t="shared" si="6"/>
        <v/>
      </c>
      <c r="X10" s="259">
        <f t="shared" si="7"/>
        <v>0</v>
      </c>
      <c r="Y10" s="259">
        <f t="shared" si="7"/>
        <v>0</v>
      </c>
      <c r="Z10" s="259">
        <f t="shared" si="7"/>
        <v>0</v>
      </c>
      <c r="AA10" s="348">
        <f t="shared" si="8"/>
        <v>0</v>
      </c>
      <c r="AB10" s="274">
        <f t="shared" si="13"/>
        <v>0</v>
      </c>
      <c r="AC10" s="97"/>
      <c r="AD10" s="97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</row>
    <row r="11" spans="1:51" ht="16" thickBot="1">
      <c r="A11" s="27"/>
      <c r="B11" s="53">
        <f t="shared" si="9"/>
        <v>43408</v>
      </c>
      <c r="C11" s="41">
        <f>C3+6</f>
        <v>43408</v>
      </c>
      <c r="D11" s="54">
        <f t="shared" ca="1" si="1"/>
        <v>-270</v>
      </c>
      <c r="E11" s="117" t="str">
        <f>IF(B11=0,"","Sunday")</f>
        <v>Sunday</v>
      </c>
      <c r="F11" s="55"/>
      <c r="G11" s="56"/>
      <c r="H11" s="56"/>
      <c r="I11" s="200"/>
      <c r="J11" s="56"/>
      <c r="K11" s="201" t="str">
        <f t="shared" si="14"/>
        <v/>
      </c>
      <c r="L11" s="56"/>
      <c r="M11" s="56" t="str">
        <f t="shared" si="10"/>
        <v/>
      </c>
      <c r="N11" s="326"/>
      <c r="O11" s="259">
        <f t="shared" si="3"/>
        <v>9629.7812999197922</v>
      </c>
      <c r="P11" s="260">
        <f t="shared" si="0"/>
        <v>288890.12519967917</v>
      </c>
      <c r="Q11" s="169">
        <f t="shared" si="4"/>
        <v>179.50800173632695</v>
      </c>
      <c r="R11" s="169">
        <f t="shared" si="11"/>
        <v>0</v>
      </c>
      <c r="S11" s="368" t="str">
        <f t="shared" si="12"/>
        <v/>
      </c>
      <c r="T11" s="169"/>
      <c r="U11" s="169"/>
      <c r="V11" s="170" t="str">
        <f t="shared" si="5"/>
        <v/>
      </c>
      <c r="W11" s="170" t="str">
        <f t="shared" si="6"/>
        <v/>
      </c>
      <c r="X11" s="259">
        <f t="shared" si="7"/>
        <v>0</v>
      </c>
      <c r="Y11" s="259">
        <f t="shared" si="7"/>
        <v>0</v>
      </c>
      <c r="Z11" s="259">
        <f t="shared" si="7"/>
        <v>0</v>
      </c>
      <c r="AA11" s="348">
        <f t="shared" si="8"/>
        <v>0</v>
      </c>
      <c r="AB11" s="274">
        <f t="shared" si="13"/>
        <v>0</v>
      </c>
      <c r="AC11" s="97"/>
      <c r="AD11" s="97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</row>
    <row r="12" spans="1:51" ht="16" thickTop="1">
      <c r="A12" s="29"/>
      <c r="B12" s="16"/>
      <c r="C12" s="42"/>
      <c r="D12" s="60">
        <f ca="1">TODAY()-C12</f>
        <v>43138</v>
      </c>
      <c r="E12" s="113" t="s">
        <v>76</v>
      </c>
      <c r="F12" s="59">
        <f ca="1">G12*0.000568181818</f>
        <v>0</v>
      </c>
      <c r="G12" s="19">
        <f ca="1">H12*1.0936113</f>
        <v>0</v>
      </c>
      <c r="H12" s="129">
        <f ca="1">IF(TODAY()&gt;=B5,AA11*1000,-2E-55)</f>
        <v>0</v>
      </c>
      <c r="I12" s="135"/>
      <c r="J12" s="443" t="s">
        <v>121</v>
      </c>
      <c r="K12" s="444"/>
      <c r="L12" s="444"/>
      <c r="M12" s="444"/>
      <c r="N12" s="444"/>
      <c r="O12" s="259" t="str">
        <f t="shared" si="3"/>
        <v/>
      </c>
      <c r="P12" s="260"/>
      <c r="Q12" s="169">
        <f t="shared" si="4"/>
        <v>0</v>
      </c>
      <c r="R12" s="350"/>
      <c r="S12" s="368" t="str">
        <f t="shared" si="12"/>
        <v/>
      </c>
      <c r="T12" s="350"/>
      <c r="U12" s="350"/>
      <c r="V12" s="350"/>
      <c r="W12" s="350"/>
      <c r="X12" s="260"/>
      <c r="Y12" s="260"/>
      <c r="Z12" s="234"/>
      <c r="AA12" s="348">
        <f t="shared" si="8"/>
        <v>0</v>
      </c>
      <c r="AB12" s="274">
        <f t="shared" si="13"/>
        <v>0</v>
      </c>
      <c r="AC12" s="97"/>
      <c r="AD12" s="97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</row>
    <row r="13" spans="1:51" ht="16" thickBot="1">
      <c r="A13" s="28"/>
      <c r="B13" s="17"/>
      <c r="C13" s="39"/>
      <c r="D13" s="61">
        <f ca="1">TODAY()-C13</f>
        <v>43138</v>
      </c>
      <c r="E13" s="116" t="s">
        <v>33</v>
      </c>
      <c r="F13" s="62">
        <f>G13*0.0005681818</f>
        <v>23.934630248003117</v>
      </c>
      <c r="G13" s="63">
        <f>H13*1.0936113</f>
        <v>42124.9505844839</v>
      </c>
      <c r="H13" s="130">
        <f>SUM($O5:$O11)</f>
        <v>38519.125199679169</v>
      </c>
      <c r="I13" s="136"/>
      <c r="J13" s="445" t="str">
        <f>IF(R$2=1,"MILES &amp; mph",IF(R$2=2,"YARDS &amp; mph",IF(R$2=3,"METRES &amp; km/h","????")))</f>
        <v>MILES &amp; mph</v>
      </c>
      <c r="K13" s="446"/>
      <c r="L13" s="446"/>
      <c r="M13" s="446"/>
      <c r="N13" s="446"/>
      <c r="O13" s="259" t="str">
        <f t="shared" si="3"/>
        <v/>
      </c>
      <c r="P13" s="260"/>
      <c r="Q13" s="169">
        <f t="shared" si="4"/>
        <v>0</v>
      </c>
      <c r="R13" s="351"/>
      <c r="S13" s="368" t="str">
        <f t="shared" si="12"/>
        <v/>
      </c>
      <c r="T13" s="351"/>
      <c r="U13" s="351"/>
      <c r="V13" s="351"/>
      <c r="W13" s="351"/>
      <c r="X13" s="260"/>
      <c r="Y13" s="260"/>
      <c r="Z13" s="234"/>
      <c r="AA13" s="348">
        <f t="shared" si="8"/>
        <v>0</v>
      </c>
      <c r="AB13" s="274">
        <f t="shared" si="13"/>
        <v>0</v>
      </c>
      <c r="AC13" s="97"/>
      <c r="AD13" s="97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</row>
    <row r="14" spans="1:51" ht="16" thickTop="1">
      <c r="A14" s="1" t="s">
        <v>9</v>
      </c>
      <c r="B14" s="57">
        <f t="shared" ref="B14:B20" si="15">IF(B$2&gt;C14,0,C14)</f>
        <v>43409</v>
      </c>
      <c r="C14" s="40">
        <f>C11+1</f>
        <v>43409</v>
      </c>
      <c r="D14" s="22">
        <f t="shared" ca="1" si="1"/>
        <v>-271</v>
      </c>
      <c r="E14" s="118" t="s">
        <v>1</v>
      </c>
      <c r="F14" s="55"/>
      <c r="G14" s="56"/>
      <c r="H14" s="56"/>
      <c r="I14" s="136"/>
      <c r="J14" s="128"/>
      <c r="K14" s="201" t="str">
        <f t="shared" ref="K14" si="16">IF(R14=0,"",IF(L14="","",J14))</f>
        <v/>
      </c>
      <c r="L14" s="128"/>
      <c r="M14" s="56" t="str">
        <f>IF(R14=0,"",IF(J14="","",L14))</f>
        <v/>
      </c>
      <c r="N14" s="327"/>
      <c r="O14" s="259">
        <f t="shared" si="3"/>
        <v>9629.7812999197922</v>
      </c>
      <c r="P14" s="260">
        <f t="shared" ref="P14:P20" si="17">H$56</f>
        <v>288890.12519967917</v>
      </c>
      <c r="Q14" s="169">
        <f t="shared" si="4"/>
        <v>179.50800173632695</v>
      </c>
      <c r="R14" s="169">
        <f>IF(R$2=3,H14+G14/1.0936133+F14/0.0006213712,IF(R$2=2,H14*1.0936133+G14+F14/0.0005681818,IF(R$2=1,H14*0.0005681818*1.0936133+G14*0.0005681818+F14,"")))</f>
        <v>0</v>
      </c>
      <c r="S14" s="368" t="str">
        <f t="shared" si="12"/>
        <v/>
      </c>
      <c r="T14" s="169"/>
      <c r="U14" s="169"/>
      <c r="V14" s="170" t="str">
        <f t="shared" ref="V14:V20" si="18">IF(L14="","",IF(R14=0,"",IF(B14=0,"",IF($R$2=3,R14/L14*60/1000,IF($R$2=2,R14/L14*60/1760,IF($R$2=1,R14/L14*60,""))))))</f>
        <v/>
      </c>
      <c r="W14" s="170" t="str">
        <f t="shared" ref="W14:W20" si="19">IF(R14=0,"",IF(L14="","",V14*L14))</f>
        <v/>
      </c>
      <c r="X14" s="259">
        <f>F14+X11</f>
        <v>0</v>
      </c>
      <c r="Y14" s="259">
        <f>G14+Y11</f>
        <v>0</v>
      </c>
      <c r="Z14" s="259">
        <f>H14+Z11</f>
        <v>0</v>
      </c>
      <c r="AA14" s="348">
        <f t="shared" si="8"/>
        <v>0</v>
      </c>
      <c r="AB14" s="274">
        <f t="shared" si="13"/>
        <v>0</v>
      </c>
      <c r="AC14" s="97"/>
      <c r="AD14" s="97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</row>
    <row r="15" spans="1:51">
      <c r="A15" s="1"/>
      <c r="B15" s="5">
        <f t="shared" si="15"/>
        <v>43410</v>
      </c>
      <c r="C15" s="38">
        <f t="shared" ref="C15:C20" si="20">C14+1</f>
        <v>43410</v>
      </c>
      <c r="D15" s="7">
        <f t="shared" ca="1" si="1"/>
        <v>-272</v>
      </c>
      <c r="E15" s="114" t="s">
        <v>2</v>
      </c>
      <c r="F15" s="55"/>
      <c r="G15" s="56"/>
      <c r="H15" s="56"/>
      <c r="I15" s="200"/>
      <c r="J15" s="56"/>
      <c r="K15" s="201" t="str">
        <f>IF(R15=0,"",IF(L15="","",J15))</f>
        <v/>
      </c>
      <c r="L15" s="56"/>
      <c r="M15" s="56" t="str">
        <f t="shared" ref="M15:M20" si="21">IF(R15=0,"",IF(J15="","",L15))</f>
        <v/>
      </c>
      <c r="N15" s="328"/>
      <c r="O15" s="259">
        <f t="shared" si="3"/>
        <v>9629.7812999197922</v>
      </c>
      <c r="P15" s="260">
        <f t="shared" si="17"/>
        <v>288890.12519967917</v>
      </c>
      <c r="Q15" s="169">
        <f t="shared" si="4"/>
        <v>179.50800173632695</v>
      </c>
      <c r="R15" s="169">
        <f t="shared" ref="R15:R20" si="22">IF(R$2=3,H15+G15/1.0936133+F15/0.0006213712,IF(R$2=2,H15*1.0936133+G15+F15/0.0005681818,IF(R$2=1,H15*0.0005681818*1.0936133+G15*0.0005681818+F15,"")))</f>
        <v>0</v>
      </c>
      <c r="S15" s="368" t="str">
        <f t="shared" si="12"/>
        <v/>
      </c>
      <c r="T15" s="169"/>
      <c r="U15" s="169"/>
      <c r="V15" s="170" t="str">
        <f t="shared" si="18"/>
        <v/>
      </c>
      <c r="W15" s="170" t="str">
        <f t="shared" si="19"/>
        <v/>
      </c>
      <c r="X15" s="259">
        <f t="shared" ref="X15:Z20" si="23">F15+X14</f>
        <v>0</v>
      </c>
      <c r="Y15" s="259">
        <f t="shared" si="23"/>
        <v>0</v>
      </c>
      <c r="Z15" s="259">
        <f t="shared" si="23"/>
        <v>0</v>
      </c>
      <c r="AA15" s="348">
        <f t="shared" si="8"/>
        <v>0</v>
      </c>
      <c r="AB15" s="274">
        <f t="shared" si="13"/>
        <v>0</v>
      </c>
      <c r="AC15" s="97"/>
      <c r="AD15" s="97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</row>
    <row r="16" spans="1:51">
      <c r="A16" s="1"/>
      <c r="B16" s="5">
        <f t="shared" si="15"/>
        <v>43411</v>
      </c>
      <c r="C16" s="38">
        <f t="shared" si="20"/>
        <v>43411</v>
      </c>
      <c r="D16" s="7">
        <f t="shared" ca="1" si="1"/>
        <v>-273</v>
      </c>
      <c r="E16" s="114" t="s">
        <v>3</v>
      </c>
      <c r="F16" s="55"/>
      <c r="G16" s="56"/>
      <c r="H16" s="56"/>
      <c r="I16" s="200"/>
      <c r="J16" s="56"/>
      <c r="K16" s="201" t="str">
        <f t="shared" ref="K16:K20" si="24">IF(R16=0,"",IF(L16="","",J16))</f>
        <v/>
      </c>
      <c r="L16" s="56"/>
      <c r="M16" s="56" t="str">
        <f t="shared" si="21"/>
        <v/>
      </c>
      <c r="N16" s="328"/>
      <c r="O16" s="259">
        <f t="shared" si="3"/>
        <v>9629.7812999197922</v>
      </c>
      <c r="P16" s="260">
        <f t="shared" si="17"/>
        <v>288890.12519967917</v>
      </c>
      <c r="Q16" s="169">
        <f t="shared" si="4"/>
        <v>179.50800173632695</v>
      </c>
      <c r="R16" s="169">
        <f t="shared" si="22"/>
        <v>0</v>
      </c>
      <c r="S16" s="368" t="str">
        <f t="shared" si="12"/>
        <v/>
      </c>
      <c r="T16" s="169"/>
      <c r="U16" s="169"/>
      <c r="V16" s="170" t="str">
        <f t="shared" si="18"/>
        <v/>
      </c>
      <c r="W16" s="170" t="str">
        <f t="shared" si="19"/>
        <v/>
      </c>
      <c r="X16" s="259">
        <f t="shared" si="23"/>
        <v>0</v>
      </c>
      <c r="Y16" s="259">
        <f t="shared" si="23"/>
        <v>0</v>
      </c>
      <c r="Z16" s="259">
        <f t="shared" si="23"/>
        <v>0</v>
      </c>
      <c r="AA16" s="348">
        <f t="shared" si="8"/>
        <v>0</v>
      </c>
      <c r="AB16" s="274">
        <f t="shared" si="13"/>
        <v>0</v>
      </c>
      <c r="AC16" s="97"/>
      <c r="AD16" s="97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</row>
    <row r="17" spans="1:51">
      <c r="A17" s="1"/>
      <c r="B17" s="5">
        <f t="shared" si="15"/>
        <v>43412</v>
      </c>
      <c r="C17" s="38">
        <f t="shared" si="20"/>
        <v>43412</v>
      </c>
      <c r="D17" s="7">
        <f t="shared" ca="1" si="1"/>
        <v>-274</v>
      </c>
      <c r="E17" s="114" t="s">
        <v>4</v>
      </c>
      <c r="F17" s="55"/>
      <c r="G17" s="56"/>
      <c r="H17" s="56"/>
      <c r="I17" s="200"/>
      <c r="J17" s="56"/>
      <c r="K17" s="201" t="str">
        <f t="shared" si="24"/>
        <v/>
      </c>
      <c r="L17" s="56"/>
      <c r="M17" s="56" t="str">
        <f t="shared" si="21"/>
        <v/>
      </c>
      <c r="N17" s="328"/>
      <c r="O17" s="259">
        <f t="shared" si="3"/>
        <v>9629.7812999197922</v>
      </c>
      <c r="P17" s="260">
        <f t="shared" si="17"/>
        <v>288890.12519967917</v>
      </c>
      <c r="Q17" s="169">
        <f t="shared" si="4"/>
        <v>179.50800173632695</v>
      </c>
      <c r="R17" s="169">
        <f t="shared" si="22"/>
        <v>0</v>
      </c>
      <c r="S17" s="368" t="str">
        <f t="shared" si="12"/>
        <v/>
      </c>
      <c r="T17" s="169"/>
      <c r="U17" s="169"/>
      <c r="V17" s="170" t="str">
        <f t="shared" si="18"/>
        <v/>
      </c>
      <c r="W17" s="170" t="str">
        <f t="shared" si="19"/>
        <v/>
      </c>
      <c r="X17" s="259">
        <f t="shared" si="23"/>
        <v>0</v>
      </c>
      <c r="Y17" s="259">
        <f t="shared" si="23"/>
        <v>0</v>
      </c>
      <c r="Z17" s="259">
        <f t="shared" si="23"/>
        <v>0</v>
      </c>
      <c r="AA17" s="348">
        <f t="shared" si="8"/>
        <v>0</v>
      </c>
      <c r="AB17" s="274">
        <f t="shared" si="13"/>
        <v>0</v>
      </c>
      <c r="AC17" s="97"/>
      <c r="AD17" s="97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</row>
    <row r="18" spans="1:51">
      <c r="A18" s="1"/>
      <c r="B18" s="5">
        <f t="shared" si="15"/>
        <v>43413</v>
      </c>
      <c r="C18" s="38">
        <f t="shared" si="20"/>
        <v>43413</v>
      </c>
      <c r="D18" s="7">
        <f t="shared" ca="1" si="1"/>
        <v>-275</v>
      </c>
      <c r="E18" s="114" t="s">
        <v>5</v>
      </c>
      <c r="F18" s="55"/>
      <c r="G18" s="56"/>
      <c r="H18" s="56"/>
      <c r="I18" s="200"/>
      <c r="J18" s="56"/>
      <c r="K18" s="201" t="str">
        <f t="shared" si="24"/>
        <v/>
      </c>
      <c r="L18" s="56"/>
      <c r="M18" s="56" t="str">
        <f t="shared" si="21"/>
        <v/>
      </c>
      <c r="N18" s="324"/>
      <c r="O18" s="259">
        <f t="shared" si="3"/>
        <v>9629.7812999197922</v>
      </c>
      <c r="P18" s="260">
        <f t="shared" si="17"/>
        <v>288890.12519967917</v>
      </c>
      <c r="Q18" s="169">
        <f t="shared" si="4"/>
        <v>179.50800173632695</v>
      </c>
      <c r="R18" s="169">
        <f t="shared" si="22"/>
        <v>0</v>
      </c>
      <c r="S18" s="368" t="str">
        <f t="shared" si="12"/>
        <v/>
      </c>
      <c r="T18" s="169"/>
      <c r="U18" s="169"/>
      <c r="V18" s="170" t="str">
        <f t="shared" si="18"/>
        <v/>
      </c>
      <c r="W18" s="170" t="str">
        <f t="shared" si="19"/>
        <v/>
      </c>
      <c r="X18" s="259">
        <f t="shared" si="23"/>
        <v>0</v>
      </c>
      <c r="Y18" s="259">
        <f t="shared" si="23"/>
        <v>0</v>
      </c>
      <c r="Z18" s="259">
        <f t="shared" si="23"/>
        <v>0</v>
      </c>
      <c r="AA18" s="348">
        <f t="shared" si="8"/>
        <v>0</v>
      </c>
      <c r="AB18" s="274">
        <f t="shared" si="13"/>
        <v>0</v>
      </c>
      <c r="AC18" s="97"/>
      <c r="AD18" s="97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</row>
    <row r="19" spans="1:51">
      <c r="A19" s="1"/>
      <c r="B19" s="5">
        <f t="shared" si="15"/>
        <v>43414</v>
      </c>
      <c r="C19" s="38">
        <f t="shared" si="20"/>
        <v>43414</v>
      </c>
      <c r="D19" s="7">
        <f t="shared" ca="1" si="1"/>
        <v>-276</v>
      </c>
      <c r="E19" s="114" t="s">
        <v>6</v>
      </c>
      <c r="F19" s="55"/>
      <c r="G19" s="56"/>
      <c r="H19" s="56"/>
      <c r="I19" s="200"/>
      <c r="J19" s="56"/>
      <c r="K19" s="201" t="str">
        <f t="shared" si="24"/>
        <v/>
      </c>
      <c r="L19" s="56"/>
      <c r="M19" s="56" t="str">
        <f t="shared" si="21"/>
        <v/>
      </c>
      <c r="N19" s="324"/>
      <c r="O19" s="259">
        <f t="shared" si="3"/>
        <v>9629.7812999197922</v>
      </c>
      <c r="P19" s="260">
        <f t="shared" si="17"/>
        <v>288890.12519967917</v>
      </c>
      <c r="Q19" s="169">
        <f t="shared" si="4"/>
        <v>179.50800173632695</v>
      </c>
      <c r="R19" s="169">
        <f t="shared" si="22"/>
        <v>0</v>
      </c>
      <c r="S19" s="368" t="str">
        <f t="shared" si="12"/>
        <v/>
      </c>
      <c r="T19" s="169"/>
      <c r="U19" s="169"/>
      <c r="V19" s="170" t="str">
        <f t="shared" si="18"/>
        <v/>
      </c>
      <c r="W19" s="170" t="str">
        <f t="shared" si="19"/>
        <v/>
      </c>
      <c r="X19" s="259">
        <f t="shared" si="23"/>
        <v>0</v>
      </c>
      <c r="Y19" s="259">
        <f t="shared" si="23"/>
        <v>0</v>
      </c>
      <c r="Z19" s="259">
        <f t="shared" si="23"/>
        <v>0</v>
      </c>
      <c r="AA19" s="348">
        <f t="shared" si="8"/>
        <v>0</v>
      </c>
      <c r="AB19" s="274">
        <f t="shared" si="13"/>
        <v>0</v>
      </c>
      <c r="AC19" s="97"/>
      <c r="AD19" s="97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</row>
    <row r="20" spans="1:51" ht="16" thickBot="1">
      <c r="A20" s="1"/>
      <c r="B20" s="53">
        <f t="shared" si="15"/>
        <v>43415</v>
      </c>
      <c r="C20" s="41">
        <f t="shared" si="20"/>
        <v>43415</v>
      </c>
      <c r="D20" s="54">
        <f t="shared" ca="1" si="1"/>
        <v>-277</v>
      </c>
      <c r="E20" s="117" t="s">
        <v>7</v>
      </c>
      <c r="F20" s="55"/>
      <c r="G20" s="56"/>
      <c r="H20" s="56"/>
      <c r="I20" s="200"/>
      <c r="J20" s="56"/>
      <c r="K20" s="201" t="str">
        <f t="shared" si="24"/>
        <v/>
      </c>
      <c r="L20" s="56"/>
      <c r="M20" s="56" t="str">
        <f t="shared" si="21"/>
        <v/>
      </c>
      <c r="N20" s="329"/>
      <c r="O20" s="259">
        <f t="shared" si="3"/>
        <v>9629.7812999197922</v>
      </c>
      <c r="P20" s="260">
        <f t="shared" si="17"/>
        <v>288890.12519967917</v>
      </c>
      <c r="Q20" s="169">
        <f t="shared" si="4"/>
        <v>179.50800173632695</v>
      </c>
      <c r="R20" s="169">
        <f t="shared" si="22"/>
        <v>0</v>
      </c>
      <c r="S20" s="368" t="str">
        <f t="shared" si="12"/>
        <v/>
      </c>
      <c r="T20" s="169"/>
      <c r="U20" s="169"/>
      <c r="V20" s="170" t="str">
        <f t="shared" si="18"/>
        <v/>
      </c>
      <c r="W20" s="170" t="str">
        <f t="shared" si="19"/>
        <v/>
      </c>
      <c r="X20" s="259">
        <f t="shared" si="23"/>
        <v>0</v>
      </c>
      <c r="Y20" s="259">
        <f t="shared" si="23"/>
        <v>0</v>
      </c>
      <c r="Z20" s="259">
        <f t="shared" si="23"/>
        <v>0</v>
      </c>
      <c r="AA20" s="348">
        <f t="shared" si="8"/>
        <v>0</v>
      </c>
      <c r="AB20" s="274">
        <f t="shared" si="13"/>
        <v>0</v>
      </c>
      <c r="AC20" s="97"/>
      <c r="AD20" s="97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</row>
    <row r="21" spans="1:51" ht="16" thickTop="1">
      <c r="A21" s="29"/>
      <c r="B21" s="16"/>
      <c r="C21" s="42"/>
      <c r="D21" s="60">
        <f ca="1">TODAY()-C21</f>
        <v>43138</v>
      </c>
      <c r="E21" s="113" t="s">
        <v>76</v>
      </c>
      <c r="F21" s="59">
        <f ca="1">G21*0.000568181818</f>
        <v>-1.2427401132386871E-58</v>
      </c>
      <c r="G21" s="19">
        <f ca="1">H21*1.0936113</f>
        <v>-2.1872226000000002E-55</v>
      </c>
      <c r="H21" s="129">
        <f ca="1">IF(TODAY()&gt;=B14,(AA20-AA11)*1000,-2E-55)</f>
        <v>-2E-55</v>
      </c>
      <c r="I21" s="152"/>
      <c r="J21" s="447" t="str">
        <f>IF(R21=0,"",#REF!)</f>
        <v/>
      </c>
      <c r="K21" s="448"/>
      <c r="L21" s="448"/>
      <c r="M21" s="448"/>
      <c r="N21" s="448"/>
      <c r="O21" s="259" t="str">
        <f t="shared" si="3"/>
        <v/>
      </c>
      <c r="P21" s="260"/>
      <c r="Q21" s="169">
        <f t="shared" si="4"/>
        <v>0</v>
      </c>
      <c r="R21" s="350"/>
      <c r="S21" s="368" t="str">
        <f t="shared" si="12"/>
        <v/>
      </c>
      <c r="T21" s="350"/>
      <c r="U21" s="350"/>
      <c r="V21" s="350"/>
      <c r="W21" s="350"/>
      <c r="X21" s="234"/>
      <c r="Y21" s="234"/>
      <c r="Z21" s="234"/>
      <c r="AA21" s="348">
        <f t="shared" si="8"/>
        <v>0</v>
      </c>
      <c r="AB21" s="274">
        <f t="shared" si="13"/>
        <v>0</v>
      </c>
      <c r="AC21" s="97"/>
      <c r="AD21" s="97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</row>
    <row r="22" spans="1:51" ht="16" thickBot="1">
      <c r="A22" s="28"/>
      <c r="B22" s="17"/>
      <c r="C22" s="39"/>
      <c r="D22" s="61">
        <f ca="1">TODAY()-C22</f>
        <v>43138</v>
      </c>
      <c r="E22" s="116" t="s">
        <v>33</v>
      </c>
      <c r="F22" s="62">
        <f>G22*0.0005681818</f>
        <v>41.885311449669999</v>
      </c>
      <c r="G22" s="63">
        <f>H22*1.0936113</f>
        <v>73718.15051040001</v>
      </c>
      <c r="H22" s="131">
        <f>INT(SUM($O14:$O20))</f>
        <v>67408</v>
      </c>
      <c r="I22" s="153"/>
      <c r="J22" s="449"/>
      <c r="K22" s="451"/>
      <c r="L22" s="451"/>
      <c r="M22" s="451"/>
      <c r="N22" s="451"/>
      <c r="O22" s="259" t="str">
        <f t="shared" si="3"/>
        <v/>
      </c>
      <c r="P22" s="260"/>
      <c r="Q22" s="169">
        <f t="shared" si="4"/>
        <v>0</v>
      </c>
      <c r="R22" s="351"/>
      <c r="S22" s="368" t="str">
        <f t="shared" si="12"/>
        <v/>
      </c>
      <c r="T22" s="351"/>
      <c r="U22" s="351"/>
      <c r="V22" s="351"/>
      <c r="W22" s="351"/>
      <c r="X22" s="234"/>
      <c r="Y22" s="234"/>
      <c r="Z22" s="234"/>
      <c r="AA22" s="348">
        <f t="shared" si="8"/>
        <v>0</v>
      </c>
      <c r="AB22" s="274">
        <f t="shared" si="13"/>
        <v>0</v>
      </c>
      <c r="AC22" s="97"/>
      <c r="AD22" s="97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</row>
    <row r="23" spans="1:51" ht="16" thickTop="1">
      <c r="A23" s="1" t="s">
        <v>10</v>
      </c>
      <c r="B23" s="57">
        <f t="shared" ref="B23:B29" si="25">IF(B$2&gt;C23,0,C23)</f>
        <v>43416</v>
      </c>
      <c r="C23" s="40">
        <f>C20+1</f>
        <v>43416</v>
      </c>
      <c r="D23" s="22">
        <f t="shared" ca="1" si="1"/>
        <v>-278</v>
      </c>
      <c r="E23" s="118" t="s">
        <v>1</v>
      </c>
      <c r="F23" s="55"/>
      <c r="G23" s="56"/>
      <c r="H23" s="56"/>
      <c r="I23" s="200"/>
      <c r="J23" s="128"/>
      <c r="K23" s="201" t="str">
        <f t="shared" ref="K23" si="26">IF(R23=0,"",IF(L23="","",J23))</f>
        <v/>
      </c>
      <c r="L23" s="128"/>
      <c r="M23" s="56" t="str">
        <f>IF(R23=0,"",IF(J23="","",L23))</f>
        <v/>
      </c>
      <c r="N23" s="330"/>
      <c r="O23" s="259">
        <f t="shared" si="3"/>
        <v>9629.7812999197922</v>
      </c>
      <c r="P23" s="260">
        <f t="shared" ref="P23:P29" si="27">H$56</f>
        <v>288890.12519967917</v>
      </c>
      <c r="Q23" s="169">
        <f t="shared" si="4"/>
        <v>179.50800173632695</v>
      </c>
      <c r="R23" s="169">
        <f>IF(R$2=3,H23+G23/1.0936133+F23/0.0006213712,IF(R$2=2,H23*1.0936133+G23+F23/0.0005681818,IF(R$2=1,H23*0.0005681818*1.0936133+G23*0.0005681818+F23,"")))</f>
        <v>0</v>
      </c>
      <c r="S23" s="368" t="str">
        <f t="shared" si="12"/>
        <v/>
      </c>
      <c r="T23" s="169"/>
      <c r="U23" s="169"/>
      <c r="V23" s="170" t="str">
        <f t="shared" ref="V23:V29" si="28">IF(L23="","",IF(R23=0,"",IF(B23=0,"",IF($R$2=3,R23/L23*60/1000,IF($R$2=2,R23/L23*60/1760,IF($R$2=1,R23/L23*60,""))))))</f>
        <v/>
      </c>
      <c r="W23" s="170" t="str">
        <f t="shared" ref="W23:W29" si="29">IF(R23=0,"",IF(L23="","",V23*L23))</f>
        <v/>
      </c>
      <c r="X23" s="259">
        <f>F23+X20</f>
        <v>0</v>
      </c>
      <c r="Y23" s="259">
        <f>G23+Y20</f>
        <v>0</v>
      </c>
      <c r="Z23" s="259">
        <f>H23+Z20</f>
        <v>0</v>
      </c>
      <c r="AA23" s="348">
        <f t="shared" si="8"/>
        <v>0</v>
      </c>
      <c r="AB23" s="274">
        <f t="shared" si="13"/>
        <v>0</v>
      </c>
      <c r="AC23" s="97"/>
      <c r="AD23" s="97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</row>
    <row r="24" spans="1:51">
      <c r="A24" s="1"/>
      <c r="B24" s="5">
        <f t="shared" si="25"/>
        <v>43417</v>
      </c>
      <c r="C24" s="38">
        <f t="shared" ref="C24:C29" si="30">C23+1</f>
        <v>43417</v>
      </c>
      <c r="D24" s="7">
        <f t="shared" ca="1" si="1"/>
        <v>-279</v>
      </c>
      <c r="E24" s="114" t="s">
        <v>2</v>
      </c>
      <c r="F24" s="55"/>
      <c r="G24" s="56"/>
      <c r="H24" s="56"/>
      <c r="I24" s="200"/>
      <c r="J24" s="56"/>
      <c r="K24" s="201" t="str">
        <f>IF(R24=0,"",IF(L24="","",J24))</f>
        <v/>
      </c>
      <c r="L24" s="56"/>
      <c r="M24" s="56" t="str">
        <f t="shared" ref="M24:M29" si="31">IF(R24=0,"",IF(J24="","",L24))</f>
        <v/>
      </c>
      <c r="N24" s="324"/>
      <c r="O24" s="259">
        <f t="shared" si="3"/>
        <v>9629.7812999197922</v>
      </c>
      <c r="P24" s="260">
        <f t="shared" si="27"/>
        <v>288890.12519967917</v>
      </c>
      <c r="Q24" s="169">
        <f t="shared" si="4"/>
        <v>179.50800173632695</v>
      </c>
      <c r="R24" s="169">
        <f t="shared" ref="R24:R29" si="32">IF(R$2=3,H24+G24/1.0936133+F24/0.0006213712,IF(R$2=2,H24*1.0936133+G24+F24/0.0005681818,IF(R$2=1,H24*0.0005681818*1.0936133+G24*0.0005681818+F24,"")))</f>
        <v>0</v>
      </c>
      <c r="S24" s="368" t="str">
        <f t="shared" si="12"/>
        <v/>
      </c>
      <c r="T24" s="169"/>
      <c r="U24" s="169"/>
      <c r="V24" s="170" t="str">
        <f t="shared" si="28"/>
        <v/>
      </c>
      <c r="W24" s="170" t="str">
        <f t="shared" si="29"/>
        <v/>
      </c>
      <c r="X24" s="259">
        <f t="shared" ref="X24:Z29" si="33">F24+X23</f>
        <v>0</v>
      </c>
      <c r="Y24" s="259">
        <f t="shared" si="33"/>
        <v>0</v>
      </c>
      <c r="Z24" s="259">
        <f t="shared" si="33"/>
        <v>0</v>
      </c>
      <c r="AA24" s="348">
        <f t="shared" si="8"/>
        <v>0</v>
      </c>
      <c r="AB24" s="274">
        <f t="shared" si="13"/>
        <v>0</v>
      </c>
      <c r="AC24" s="97"/>
      <c r="AD24" s="97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</row>
    <row r="25" spans="1:51">
      <c r="A25" s="1"/>
      <c r="B25" s="5">
        <f t="shared" si="25"/>
        <v>43418</v>
      </c>
      <c r="C25" s="38">
        <f t="shared" si="30"/>
        <v>43418</v>
      </c>
      <c r="D25" s="7">
        <f t="shared" ca="1" si="1"/>
        <v>-280</v>
      </c>
      <c r="E25" s="114" t="s">
        <v>3</v>
      </c>
      <c r="F25" s="55"/>
      <c r="G25" s="56"/>
      <c r="H25" s="56"/>
      <c r="I25" s="200"/>
      <c r="J25" s="56"/>
      <c r="K25" s="201" t="str">
        <f t="shared" ref="K25:K29" si="34">IF(R25=0,"",IF(L25="","",J25))</f>
        <v/>
      </c>
      <c r="L25" s="56"/>
      <c r="M25" s="56" t="str">
        <f t="shared" si="31"/>
        <v/>
      </c>
      <c r="N25" s="324"/>
      <c r="O25" s="259">
        <f t="shared" si="3"/>
        <v>9629.7812999197922</v>
      </c>
      <c r="P25" s="260">
        <f t="shared" si="27"/>
        <v>288890.12519967917</v>
      </c>
      <c r="Q25" s="169">
        <f t="shared" si="4"/>
        <v>179.50800173632695</v>
      </c>
      <c r="R25" s="169">
        <f t="shared" si="32"/>
        <v>0</v>
      </c>
      <c r="S25" s="368" t="str">
        <f t="shared" si="12"/>
        <v/>
      </c>
      <c r="T25" s="169"/>
      <c r="U25" s="169"/>
      <c r="V25" s="170" t="str">
        <f t="shared" si="28"/>
        <v/>
      </c>
      <c r="W25" s="170" t="str">
        <f t="shared" si="29"/>
        <v/>
      </c>
      <c r="X25" s="259">
        <f t="shared" si="33"/>
        <v>0</v>
      </c>
      <c r="Y25" s="259">
        <f t="shared" si="33"/>
        <v>0</v>
      </c>
      <c r="Z25" s="259">
        <f t="shared" si="33"/>
        <v>0</v>
      </c>
      <c r="AA25" s="348">
        <f t="shared" si="8"/>
        <v>0</v>
      </c>
      <c r="AB25" s="274">
        <f t="shared" si="13"/>
        <v>0</v>
      </c>
      <c r="AC25" s="97"/>
      <c r="AD25" s="97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</row>
    <row r="26" spans="1:51">
      <c r="A26" s="1"/>
      <c r="B26" s="5">
        <f t="shared" si="25"/>
        <v>43419</v>
      </c>
      <c r="C26" s="38">
        <f t="shared" si="30"/>
        <v>43419</v>
      </c>
      <c r="D26" s="7">
        <f t="shared" ca="1" si="1"/>
        <v>-281</v>
      </c>
      <c r="E26" s="114" t="s">
        <v>4</v>
      </c>
      <c r="F26" s="55"/>
      <c r="G26" s="56"/>
      <c r="H26" s="56"/>
      <c r="I26" s="200"/>
      <c r="J26" s="56"/>
      <c r="K26" s="201" t="str">
        <f t="shared" si="34"/>
        <v/>
      </c>
      <c r="L26" s="56"/>
      <c r="M26" s="56" t="str">
        <f t="shared" si="31"/>
        <v/>
      </c>
      <c r="N26" s="324"/>
      <c r="O26" s="259">
        <f t="shared" si="3"/>
        <v>9629.7812999197922</v>
      </c>
      <c r="P26" s="260">
        <f t="shared" si="27"/>
        <v>288890.12519967917</v>
      </c>
      <c r="Q26" s="169">
        <f t="shared" si="4"/>
        <v>179.50800173632695</v>
      </c>
      <c r="R26" s="169">
        <f t="shared" si="32"/>
        <v>0</v>
      </c>
      <c r="S26" s="368" t="str">
        <f t="shared" si="12"/>
        <v/>
      </c>
      <c r="T26" s="169"/>
      <c r="U26" s="169"/>
      <c r="V26" s="170" t="str">
        <f t="shared" si="28"/>
        <v/>
      </c>
      <c r="W26" s="170" t="str">
        <f t="shared" si="29"/>
        <v/>
      </c>
      <c r="X26" s="259">
        <f t="shared" si="33"/>
        <v>0</v>
      </c>
      <c r="Y26" s="259">
        <f t="shared" si="33"/>
        <v>0</v>
      </c>
      <c r="Z26" s="259">
        <f t="shared" si="33"/>
        <v>0</v>
      </c>
      <c r="AA26" s="348">
        <f t="shared" si="8"/>
        <v>0</v>
      </c>
      <c r="AB26" s="274">
        <f t="shared" si="13"/>
        <v>0</v>
      </c>
      <c r="AC26" s="97"/>
      <c r="AD26" s="97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</row>
    <row r="27" spans="1:51">
      <c r="A27" s="1"/>
      <c r="B27" s="5">
        <f t="shared" si="25"/>
        <v>43420</v>
      </c>
      <c r="C27" s="38">
        <f t="shared" si="30"/>
        <v>43420</v>
      </c>
      <c r="D27" s="7">
        <f t="shared" ca="1" si="1"/>
        <v>-282</v>
      </c>
      <c r="E27" s="114" t="s">
        <v>5</v>
      </c>
      <c r="F27" s="55"/>
      <c r="G27" s="56"/>
      <c r="H27" s="56"/>
      <c r="I27" s="200"/>
      <c r="J27" s="56"/>
      <c r="K27" s="201" t="str">
        <f t="shared" si="34"/>
        <v/>
      </c>
      <c r="L27" s="56"/>
      <c r="M27" s="56" t="str">
        <f t="shared" si="31"/>
        <v/>
      </c>
      <c r="N27" s="324"/>
      <c r="O27" s="259">
        <f t="shared" si="3"/>
        <v>9629.7812999197922</v>
      </c>
      <c r="P27" s="260">
        <f t="shared" si="27"/>
        <v>288890.12519967917</v>
      </c>
      <c r="Q27" s="169">
        <f t="shared" si="4"/>
        <v>179.50800173632695</v>
      </c>
      <c r="R27" s="169">
        <f t="shared" si="32"/>
        <v>0</v>
      </c>
      <c r="S27" s="368" t="str">
        <f t="shared" si="12"/>
        <v/>
      </c>
      <c r="T27" s="169"/>
      <c r="U27" s="169"/>
      <c r="V27" s="170" t="str">
        <f t="shared" si="28"/>
        <v/>
      </c>
      <c r="W27" s="170" t="str">
        <f t="shared" si="29"/>
        <v/>
      </c>
      <c r="X27" s="259">
        <f t="shared" si="33"/>
        <v>0</v>
      </c>
      <c r="Y27" s="259">
        <f t="shared" si="33"/>
        <v>0</v>
      </c>
      <c r="Z27" s="259">
        <f t="shared" si="33"/>
        <v>0</v>
      </c>
      <c r="AA27" s="348">
        <f t="shared" si="8"/>
        <v>0</v>
      </c>
      <c r="AB27" s="274">
        <f t="shared" si="13"/>
        <v>0</v>
      </c>
      <c r="AC27" s="97"/>
      <c r="AD27" s="97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</row>
    <row r="28" spans="1:51">
      <c r="A28" s="1"/>
      <c r="B28" s="5">
        <f t="shared" si="25"/>
        <v>43421</v>
      </c>
      <c r="C28" s="38">
        <f t="shared" si="30"/>
        <v>43421</v>
      </c>
      <c r="D28" s="7">
        <f t="shared" ca="1" si="1"/>
        <v>-283</v>
      </c>
      <c r="E28" s="114" t="s">
        <v>6</v>
      </c>
      <c r="F28" s="55"/>
      <c r="G28" s="56"/>
      <c r="H28" s="56"/>
      <c r="I28" s="200"/>
      <c r="J28" s="56"/>
      <c r="K28" s="201" t="str">
        <f t="shared" si="34"/>
        <v/>
      </c>
      <c r="L28" s="56"/>
      <c r="M28" s="56" t="str">
        <f t="shared" si="31"/>
        <v/>
      </c>
      <c r="N28" s="324"/>
      <c r="O28" s="259">
        <f t="shared" si="3"/>
        <v>9629.7812999197922</v>
      </c>
      <c r="P28" s="260">
        <f t="shared" si="27"/>
        <v>288890.12519967917</v>
      </c>
      <c r="Q28" s="169">
        <f t="shared" si="4"/>
        <v>179.50800173632695</v>
      </c>
      <c r="R28" s="169">
        <f t="shared" si="32"/>
        <v>0</v>
      </c>
      <c r="S28" s="368" t="str">
        <f t="shared" si="12"/>
        <v/>
      </c>
      <c r="T28" s="169"/>
      <c r="U28" s="169"/>
      <c r="V28" s="170" t="str">
        <f t="shared" si="28"/>
        <v/>
      </c>
      <c r="W28" s="170" t="str">
        <f t="shared" si="29"/>
        <v/>
      </c>
      <c r="X28" s="259">
        <f t="shared" si="33"/>
        <v>0</v>
      </c>
      <c r="Y28" s="259">
        <f t="shared" si="33"/>
        <v>0</v>
      </c>
      <c r="Z28" s="259">
        <f t="shared" si="33"/>
        <v>0</v>
      </c>
      <c r="AA28" s="348">
        <f t="shared" si="8"/>
        <v>0</v>
      </c>
      <c r="AB28" s="274">
        <f t="shared" si="13"/>
        <v>0</v>
      </c>
      <c r="AC28" s="97"/>
      <c r="AD28" s="97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</row>
    <row r="29" spans="1:51" ht="16" thickBot="1">
      <c r="A29" s="1"/>
      <c r="B29" s="53">
        <f t="shared" si="25"/>
        <v>43422</v>
      </c>
      <c r="C29" s="41">
        <f t="shared" si="30"/>
        <v>43422</v>
      </c>
      <c r="D29" s="54">
        <f t="shared" ca="1" si="1"/>
        <v>-284</v>
      </c>
      <c r="E29" s="117" t="s">
        <v>7</v>
      </c>
      <c r="F29" s="55"/>
      <c r="G29" s="56"/>
      <c r="H29" s="56"/>
      <c r="I29" s="200"/>
      <c r="J29" s="56"/>
      <c r="K29" s="201" t="str">
        <f t="shared" si="34"/>
        <v/>
      </c>
      <c r="L29" s="56"/>
      <c r="M29" s="56" t="str">
        <f t="shared" si="31"/>
        <v/>
      </c>
      <c r="N29" s="329"/>
      <c r="O29" s="259">
        <f t="shared" si="3"/>
        <v>9629.7812999197922</v>
      </c>
      <c r="P29" s="260">
        <f t="shared" si="27"/>
        <v>288890.12519967917</v>
      </c>
      <c r="Q29" s="169">
        <f t="shared" si="4"/>
        <v>179.50800173632695</v>
      </c>
      <c r="R29" s="169">
        <f t="shared" si="32"/>
        <v>0</v>
      </c>
      <c r="S29" s="368" t="str">
        <f t="shared" si="12"/>
        <v/>
      </c>
      <c r="T29" s="169"/>
      <c r="U29" s="169"/>
      <c r="V29" s="170" t="str">
        <f t="shared" si="28"/>
        <v/>
      </c>
      <c r="W29" s="170" t="str">
        <f t="shared" si="29"/>
        <v/>
      </c>
      <c r="X29" s="259">
        <f t="shared" si="33"/>
        <v>0</v>
      </c>
      <c r="Y29" s="259">
        <f t="shared" si="33"/>
        <v>0</v>
      </c>
      <c r="Z29" s="259">
        <f t="shared" si="33"/>
        <v>0</v>
      </c>
      <c r="AA29" s="348">
        <f t="shared" si="8"/>
        <v>0</v>
      </c>
      <c r="AB29" s="274">
        <f t="shared" si="13"/>
        <v>0</v>
      </c>
      <c r="AC29" s="97"/>
      <c r="AD29" s="97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</row>
    <row r="30" spans="1:51" ht="16" thickTop="1">
      <c r="A30" s="29"/>
      <c r="B30" s="16"/>
      <c r="C30" s="42"/>
      <c r="D30" s="60">
        <f ca="1">TODAY()-C30</f>
        <v>43138</v>
      </c>
      <c r="E30" s="113" t="s">
        <v>76</v>
      </c>
      <c r="F30" s="59">
        <f ca="1">G30*0.000568181818</f>
        <v>-1.2427401132386871E-58</v>
      </c>
      <c r="G30" s="19">
        <f ca="1">H30*1.0936113</f>
        <v>-2.1872226000000002E-55</v>
      </c>
      <c r="H30" s="129">
        <f ca="1">IF(TODAY()&gt;=B23,(AA29-AA20)*1000,-2E-55)</f>
        <v>-2E-55</v>
      </c>
      <c r="I30" s="152"/>
      <c r="J30" s="424" t="s">
        <v>121</v>
      </c>
      <c r="K30" s="452"/>
      <c r="L30" s="452"/>
      <c r="M30" s="453"/>
      <c r="N30" s="453"/>
      <c r="O30" s="259" t="str">
        <f t="shared" si="3"/>
        <v/>
      </c>
      <c r="P30" s="260"/>
      <c r="Q30" s="169">
        <f t="shared" si="4"/>
        <v>0</v>
      </c>
      <c r="R30" s="350"/>
      <c r="S30" s="368" t="str">
        <f t="shared" si="12"/>
        <v/>
      </c>
      <c r="T30" s="350"/>
      <c r="U30" s="350"/>
      <c r="V30" s="350"/>
      <c r="W30" s="350"/>
      <c r="X30" s="234"/>
      <c r="Y30" s="234"/>
      <c r="Z30" s="234"/>
      <c r="AA30" s="348">
        <f t="shared" si="8"/>
        <v>0</v>
      </c>
      <c r="AB30" s="274">
        <f t="shared" si="13"/>
        <v>0</v>
      </c>
      <c r="AC30" s="97"/>
      <c r="AD30" s="97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</row>
    <row r="31" spans="1:51" ht="19" thickBot="1">
      <c r="A31" s="28"/>
      <c r="B31" s="17"/>
      <c r="C31" s="39"/>
      <c r="D31" s="61">
        <f ca="1">TODAY()-C31</f>
        <v>43138</v>
      </c>
      <c r="E31" s="116" t="s">
        <v>33</v>
      </c>
      <c r="F31" s="62">
        <f>G31*0.0005681818</f>
        <v>41.885311449669999</v>
      </c>
      <c r="G31" s="63">
        <f>H31*1.0936113</f>
        <v>73718.15051040001</v>
      </c>
      <c r="H31" s="131">
        <f>INT(SUM($O23:$O29))</f>
        <v>67408</v>
      </c>
      <c r="I31" s="153"/>
      <c r="J31" s="426" t="str">
        <f>IF(R$2=1,"mph",IF(R$2=2,"mph",IF(R$2=3," km/h","????")))</f>
        <v>mph</v>
      </c>
      <c r="K31" s="454"/>
      <c r="L31" s="454"/>
      <c r="M31" s="455"/>
      <c r="N31" s="455"/>
      <c r="O31" s="259" t="str">
        <f t="shared" si="3"/>
        <v/>
      </c>
      <c r="P31" s="260"/>
      <c r="Q31" s="169">
        <f t="shared" si="4"/>
        <v>0</v>
      </c>
      <c r="R31" s="351"/>
      <c r="S31" s="368" t="str">
        <f t="shared" si="12"/>
        <v/>
      </c>
      <c r="T31" s="351"/>
      <c r="U31" s="351"/>
      <c r="V31" s="351"/>
      <c r="W31" s="351"/>
      <c r="X31" s="234"/>
      <c r="Y31" s="234"/>
      <c r="Z31" s="234"/>
      <c r="AA31" s="348">
        <f t="shared" si="8"/>
        <v>0</v>
      </c>
      <c r="AB31" s="274">
        <f t="shared" si="13"/>
        <v>0</v>
      </c>
      <c r="AC31" s="97"/>
      <c r="AD31" s="97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</row>
    <row r="32" spans="1:51" ht="16" thickTop="1">
      <c r="A32" s="1" t="s">
        <v>11</v>
      </c>
      <c r="B32" s="57">
        <f t="shared" ref="B32:B38" si="35">IF(B$2&gt;C32,0,C32)</f>
        <v>43423</v>
      </c>
      <c r="C32" s="40">
        <f>C29+1</f>
        <v>43423</v>
      </c>
      <c r="D32" s="22">
        <f t="shared" ca="1" si="1"/>
        <v>-285</v>
      </c>
      <c r="E32" s="118" t="s">
        <v>1</v>
      </c>
      <c r="F32" s="55"/>
      <c r="G32" s="56"/>
      <c r="H32" s="56"/>
      <c r="I32" s="200"/>
      <c r="J32" s="128"/>
      <c r="K32" s="201" t="str">
        <f t="shared" ref="K32" si="36">IF(R32=0,"",IF(L32="","",J32))</f>
        <v/>
      </c>
      <c r="L32" s="154"/>
      <c r="M32" s="56" t="str">
        <f>IF(R32=0,"",IF(J32="","",L32))</f>
        <v/>
      </c>
      <c r="N32" s="330"/>
      <c r="O32" s="259">
        <f t="shared" si="3"/>
        <v>9629.7812999197922</v>
      </c>
      <c r="P32" s="260">
        <f t="shared" ref="P32:P38" si="37">H$56</f>
        <v>288890.12519967917</v>
      </c>
      <c r="Q32" s="169">
        <f t="shared" si="4"/>
        <v>179.50800173632695</v>
      </c>
      <c r="R32" s="169">
        <f>IF(R$2=3,H32+G32/1.0936133+F32/0.0006213712,IF(R$2=2,H32*1.0936133+G32+F32/0.0005681818,IF(R$2=1,H32*0.0005681818*1.0936133+G32*0.0005681818+F32,"")))</f>
        <v>0</v>
      </c>
      <c r="S32" s="368" t="str">
        <f t="shared" si="12"/>
        <v/>
      </c>
      <c r="T32" s="169"/>
      <c r="U32" s="169"/>
      <c r="V32" s="170" t="str">
        <f t="shared" ref="V32:V38" si="38">IF(L32="","",IF(R32=0,"",IF(B32=0,"",IF($R$2=3,R32/L32*60/1000,IF($R$2=2,R32/L32*60/1760,IF($R$2=1,R32/L32*60,""))))))</f>
        <v/>
      </c>
      <c r="W32" s="170" t="str">
        <f t="shared" ref="W32:W38" si="39">IF(R32=0,"",IF(L32="","",V32*L32))</f>
        <v/>
      </c>
      <c r="X32" s="259">
        <f>F32+X29</f>
        <v>0</v>
      </c>
      <c r="Y32" s="259">
        <f>G32+Y29</f>
        <v>0</v>
      </c>
      <c r="Z32" s="259">
        <f>H32+Z29</f>
        <v>0</v>
      </c>
      <c r="AA32" s="348">
        <f t="shared" si="8"/>
        <v>0</v>
      </c>
      <c r="AB32" s="274">
        <f t="shared" si="13"/>
        <v>0</v>
      </c>
      <c r="AC32" s="97"/>
      <c r="AD32" s="97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</row>
    <row r="33" spans="1:51">
      <c r="A33" s="1"/>
      <c r="B33" s="5">
        <f t="shared" si="35"/>
        <v>43424</v>
      </c>
      <c r="C33" s="38">
        <f t="shared" ref="C33:C38" si="40">C32+1</f>
        <v>43424</v>
      </c>
      <c r="D33" s="7">
        <f t="shared" ca="1" si="1"/>
        <v>-286</v>
      </c>
      <c r="E33" s="114" t="s">
        <v>2</v>
      </c>
      <c r="F33" s="55"/>
      <c r="G33" s="56"/>
      <c r="H33" s="56"/>
      <c r="I33" s="200"/>
      <c r="J33" s="56"/>
      <c r="K33" s="201" t="str">
        <f>IF(R33=0,"",IF(L33="","",J33))</f>
        <v/>
      </c>
      <c r="L33" s="56"/>
      <c r="M33" s="56" t="str">
        <f t="shared" ref="M33:M38" si="41">IF(R33=0,"",IF(J33="","",L33))</f>
        <v/>
      </c>
      <c r="N33" s="324"/>
      <c r="O33" s="259">
        <f t="shared" si="3"/>
        <v>9629.7812999197922</v>
      </c>
      <c r="P33" s="260">
        <f t="shared" si="37"/>
        <v>288890.12519967917</v>
      </c>
      <c r="Q33" s="169">
        <f t="shared" si="4"/>
        <v>179.50800173632695</v>
      </c>
      <c r="R33" s="169">
        <f t="shared" ref="R33:R38" si="42">IF(R$2=3,H33+G33/1.0936133+F33/0.0006213712,IF(R$2=2,H33*1.0936133+G33+F33/0.0005681818,IF(R$2=1,H33*0.0005681818*1.0936133+G33*0.0005681818+F33,"")))</f>
        <v>0</v>
      </c>
      <c r="S33" s="368" t="str">
        <f t="shared" si="12"/>
        <v/>
      </c>
      <c r="T33" s="169"/>
      <c r="U33" s="169"/>
      <c r="V33" s="170" t="str">
        <f t="shared" si="38"/>
        <v/>
      </c>
      <c r="W33" s="170" t="str">
        <f t="shared" si="39"/>
        <v/>
      </c>
      <c r="X33" s="259">
        <f t="shared" ref="X33:Z38" si="43">F33+X32</f>
        <v>0</v>
      </c>
      <c r="Y33" s="259">
        <f t="shared" si="43"/>
        <v>0</v>
      </c>
      <c r="Z33" s="259">
        <f t="shared" si="43"/>
        <v>0</v>
      </c>
      <c r="AA33" s="348">
        <f t="shared" si="8"/>
        <v>0</v>
      </c>
      <c r="AB33" s="274">
        <f t="shared" si="13"/>
        <v>0</v>
      </c>
      <c r="AC33" s="97"/>
      <c r="AD33" s="97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</row>
    <row r="34" spans="1:51">
      <c r="A34" s="1"/>
      <c r="B34" s="5">
        <f t="shared" si="35"/>
        <v>43425</v>
      </c>
      <c r="C34" s="38">
        <f t="shared" si="40"/>
        <v>43425</v>
      </c>
      <c r="D34" s="7">
        <f t="shared" ca="1" si="1"/>
        <v>-287</v>
      </c>
      <c r="E34" s="114" t="s">
        <v>3</v>
      </c>
      <c r="F34" s="55"/>
      <c r="G34" s="56"/>
      <c r="H34" s="56"/>
      <c r="I34" s="200"/>
      <c r="J34" s="56"/>
      <c r="K34" s="201" t="str">
        <f t="shared" ref="K34:K38" si="44">IF(R34=0,"",IF(L34="","",J34))</f>
        <v/>
      </c>
      <c r="L34" s="56"/>
      <c r="M34" s="56" t="str">
        <f t="shared" si="41"/>
        <v/>
      </c>
      <c r="N34" s="324"/>
      <c r="O34" s="259">
        <f t="shared" si="3"/>
        <v>9629.7812999197922</v>
      </c>
      <c r="P34" s="260">
        <f t="shared" si="37"/>
        <v>288890.12519967917</v>
      </c>
      <c r="Q34" s="169">
        <f t="shared" si="4"/>
        <v>179.50800173632695</v>
      </c>
      <c r="R34" s="169">
        <f t="shared" si="42"/>
        <v>0</v>
      </c>
      <c r="S34" s="368" t="str">
        <f t="shared" si="12"/>
        <v/>
      </c>
      <c r="T34" s="169"/>
      <c r="U34" s="169"/>
      <c r="V34" s="170" t="str">
        <f t="shared" si="38"/>
        <v/>
      </c>
      <c r="W34" s="170" t="str">
        <f t="shared" si="39"/>
        <v/>
      </c>
      <c r="X34" s="259">
        <f t="shared" si="43"/>
        <v>0</v>
      </c>
      <c r="Y34" s="259">
        <f t="shared" si="43"/>
        <v>0</v>
      </c>
      <c r="Z34" s="259">
        <f t="shared" si="43"/>
        <v>0</v>
      </c>
      <c r="AA34" s="348">
        <f t="shared" si="8"/>
        <v>0</v>
      </c>
      <c r="AB34" s="274">
        <f t="shared" si="13"/>
        <v>0</v>
      </c>
      <c r="AC34" s="97"/>
      <c r="AD34" s="97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</row>
    <row r="35" spans="1:51">
      <c r="A35" s="1"/>
      <c r="B35" s="5">
        <f t="shared" si="35"/>
        <v>43426</v>
      </c>
      <c r="C35" s="38">
        <f t="shared" si="40"/>
        <v>43426</v>
      </c>
      <c r="D35" s="7">
        <f t="shared" ca="1" si="1"/>
        <v>-288</v>
      </c>
      <c r="E35" s="114" t="s">
        <v>4</v>
      </c>
      <c r="F35" s="55"/>
      <c r="G35" s="56"/>
      <c r="H35" s="56"/>
      <c r="I35" s="200"/>
      <c r="J35" s="56"/>
      <c r="K35" s="201" t="str">
        <f t="shared" si="44"/>
        <v/>
      </c>
      <c r="L35" s="56"/>
      <c r="M35" s="56" t="str">
        <f t="shared" si="41"/>
        <v/>
      </c>
      <c r="N35" s="324"/>
      <c r="O35" s="259">
        <f t="shared" si="3"/>
        <v>9629.7812999197922</v>
      </c>
      <c r="P35" s="260">
        <f t="shared" si="37"/>
        <v>288890.12519967917</v>
      </c>
      <c r="Q35" s="169">
        <f t="shared" si="4"/>
        <v>179.50800173632695</v>
      </c>
      <c r="R35" s="169">
        <f t="shared" si="42"/>
        <v>0</v>
      </c>
      <c r="S35" s="368" t="str">
        <f t="shared" si="12"/>
        <v/>
      </c>
      <c r="T35" s="169"/>
      <c r="U35" s="169"/>
      <c r="V35" s="170" t="str">
        <f t="shared" si="38"/>
        <v/>
      </c>
      <c r="W35" s="170" t="str">
        <f t="shared" si="39"/>
        <v/>
      </c>
      <c r="X35" s="259">
        <f t="shared" si="43"/>
        <v>0</v>
      </c>
      <c r="Y35" s="259">
        <f t="shared" si="43"/>
        <v>0</v>
      </c>
      <c r="Z35" s="259">
        <f t="shared" si="43"/>
        <v>0</v>
      </c>
      <c r="AA35" s="348">
        <f t="shared" si="8"/>
        <v>0</v>
      </c>
      <c r="AB35" s="274">
        <f t="shared" si="13"/>
        <v>0</v>
      </c>
      <c r="AC35" s="97"/>
      <c r="AD35" s="97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</row>
    <row r="36" spans="1:51">
      <c r="A36" s="1"/>
      <c r="B36" s="5">
        <f t="shared" si="35"/>
        <v>43427</v>
      </c>
      <c r="C36" s="38">
        <f t="shared" si="40"/>
        <v>43427</v>
      </c>
      <c r="D36" s="7">
        <f t="shared" ca="1" si="1"/>
        <v>-289</v>
      </c>
      <c r="E36" s="114" t="s">
        <v>5</v>
      </c>
      <c r="F36" s="55"/>
      <c r="G36" s="56"/>
      <c r="H36" s="56"/>
      <c r="I36" s="200"/>
      <c r="J36" s="56"/>
      <c r="K36" s="201" t="str">
        <f t="shared" si="44"/>
        <v/>
      </c>
      <c r="L36" s="56"/>
      <c r="M36" s="56" t="str">
        <f t="shared" si="41"/>
        <v/>
      </c>
      <c r="N36" s="324"/>
      <c r="O36" s="259">
        <f t="shared" si="3"/>
        <v>9629.7812999197922</v>
      </c>
      <c r="P36" s="260">
        <f t="shared" si="37"/>
        <v>288890.12519967917</v>
      </c>
      <c r="Q36" s="169">
        <f t="shared" si="4"/>
        <v>179.50800173632695</v>
      </c>
      <c r="R36" s="169">
        <f t="shared" si="42"/>
        <v>0</v>
      </c>
      <c r="S36" s="368" t="str">
        <f t="shared" si="12"/>
        <v/>
      </c>
      <c r="T36" s="169"/>
      <c r="U36" s="169"/>
      <c r="V36" s="170" t="str">
        <f t="shared" si="38"/>
        <v/>
      </c>
      <c r="W36" s="170" t="str">
        <f t="shared" si="39"/>
        <v/>
      </c>
      <c r="X36" s="259">
        <f t="shared" si="43"/>
        <v>0</v>
      </c>
      <c r="Y36" s="259">
        <f t="shared" si="43"/>
        <v>0</v>
      </c>
      <c r="Z36" s="259">
        <f t="shared" si="43"/>
        <v>0</v>
      </c>
      <c r="AA36" s="348">
        <f t="shared" si="8"/>
        <v>0</v>
      </c>
      <c r="AB36" s="274">
        <f t="shared" si="13"/>
        <v>0</v>
      </c>
      <c r="AC36" s="97"/>
      <c r="AD36" s="97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</row>
    <row r="37" spans="1:51">
      <c r="A37" s="1"/>
      <c r="B37" s="5">
        <f t="shared" si="35"/>
        <v>43428</v>
      </c>
      <c r="C37" s="38">
        <f t="shared" si="40"/>
        <v>43428</v>
      </c>
      <c r="D37" s="7">
        <f t="shared" ca="1" si="1"/>
        <v>-290</v>
      </c>
      <c r="E37" s="114" t="s">
        <v>6</v>
      </c>
      <c r="F37" s="55"/>
      <c r="G37" s="56"/>
      <c r="H37" s="56"/>
      <c r="I37" s="200"/>
      <c r="J37" s="56"/>
      <c r="K37" s="201" t="str">
        <f t="shared" si="44"/>
        <v/>
      </c>
      <c r="L37" s="56"/>
      <c r="M37" s="56" t="str">
        <f t="shared" si="41"/>
        <v/>
      </c>
      <c r="N37" s="324"/>
      <c r="O37" s="259">
        <f t="shared" si="3"/>
        <v>9629.7812999197922</v>
      </c>
      <c r="P37" s="260">
        <f t="shared" si="37"/>
        <v>288890.12519967917</v>
      </c>
      <c r="Q37" s="169">
        <f t="shared" si="4"/>
        <v>179.50800173632695</v>
      </c>
      <c r="R37" s="169">
        <f t="shared" si="42"/>
        <v>0</v>
      </c>
      <c r="S37" s="368" t="str">
        <f t="shared" si="12"/>
        <v/>
      </c>
      <c r="T37" s="169"/>
      <c r="U37" s="169"/>
      <c r="V37" s="170" t="str">
        <f t="shared" si="38"/>
        <v/>
      </c>
      <c r="W37" s="170" t="str">
        <f t="shared" si="39"/>
        <v/>
      </c>
      <c r="X37" s="259">
        <f t="shared" si="43"/>
        <v>0</v>
      </c>
      <c r="Y37" s="259">
        <f t="shared" si="43"/>
        <v>0</v>
      </c>
      <c r="Z37" s="259">
        <f t="shared" si="43"/>
        <v>0</v>
      </c>
      <c r="AA37" s="348">
        <f t="shared" si="8"/>
        <v>0</v>
      </c>
      <c r="AB37" s="274">
        <f t="shared" si="13"/>
        <v>0</v>
      </c>
      <c r="AC37" s="97"/>
      <c r="AD37" s="97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</row>
    <row r="38" spans="1:51" ht="16" thickBot="1">
      <c r="A38" s="1"/>
      <c r="B38" s="53">
        <f t="shared" si="35"/>
        <v>43429</v>
      </c>
      <c r="C38" s="41">
        <f t="shared" si="40"/>
        <v>43429</v>
      </c>
      <c r="D38" s="54">
        <f t="shared" ca="1" si="1"/>
        <v>-291</v>
      </c>
      <c r="E38" s="117" t="s">
        <v>7</v>
      </c>
      <c r="F38" s="55"/>
      <c r="G38" s="56"/>
      <c r="H38" s="56"/>
      <c r="I38" s="200"/>
      <c r="J38" s="56"/>
      <c r="K38" s="201" t="str">
        <f t="shared" si="44"/>
        <v/>
      </c>
      <c r="L38" s="56"/>
      <c r="M38" s="56" t="str">
        <f t="shared" si="41"/>
        <v/>
      </c>
      <c r="N38" s="329"/>
      <c r="O38" s="259">
        <f t="shared" si="3"/>
        <v>9629.7812999197922</v>
      </c>
      <c r="P38" s="260">
        <f t="shared" si="37"/>
        <v>288890.12519967917</v>
      </c>
      <c r="Q38" s="169">
        <f t="shared" si="4"/>
        <v>179.50800173632695</v>
      </c>
      <c r="R38" s="169">
        <f t="shared" si="42"/>
        <v>0</v>
      </c>
      <c r="S38" s="368" t="str">
        <f t="shared" si="12"/>
        <v/>
      </c>
      <c r="T38" s="169"/>
      <c r="U38" s="169"/>
      <c r="V38" s="170" t="str">
        <f t="shared" si="38"/>
        <v/>
      </c>
      <c r="W38" s="170" t="str">
        <f t="shared" si="39"/>
        <v/>
      </c>
      <c r="X38" s="259">
        <f t="shared" si="43"/>
        <v>0</v>
      </c>
      <c r="Y38" s="259">
        <f t="shared" si="43"/>
        <v>0</v>
      </c>
      <c r="Z38" s="259">
        <f t="shared" si="43"/>
        <v>0</v>
      </c>
      <c r="AA38" s="348">
        <f t="shared" si="8"/>
        <v>0</v>
      </c>
      <c r="AB38" s="274">
        <f t="shared" si="13"/>
        <v>0</v>
      </c>
      <c r="AC38" s="97"/>
      <c r="AD38" s="97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</row>
    <row r="39" spans="1:51" ht="16" thickTop="1">
      <c r="A39" s="29"/>
      <c r="B39" s="16"/>
      <c r="C39" s="42"/>
      <c r="D39" s="60">
        <f ca="1">TODAY()-C39</f>
        <v>43138</v>
      </c>
      <c r="E39" s="113" t="s">
        <v>76</v>
      </c>
      <c r="F39" s="59">
        <f ca="1">G39*0.000568181818</f>
        <v>-1.2427401132386871E-58</v>
      </c>
      <c r="G39" s="19">
        <f ca="1">H39*1.0936113</f>
        <v>-2.1872226000000002E-55</v>
      </c>
      <c r="H39" s="20">
        <f ca="1">IF(TODAY()&gt;=B32,(AA38-AA29)*1000,-2E-55)</f>
        <v>-2E-55</v>
      </c>
      <c r="I39" s="152"/>
      <c r="J39" s="218" t="s">
        <v>137</v>
      </c>
      <c r="K39" s="155"/>
      <c r="L39" s="219" t="s">
        <v>138</v>
      </c>
      <c r="M39" s="155"/>
      <c r="N39" s="331" t="s">
        <v>139</v>
      </c>
      <c r="O39" s="259" t="str">
        <f t="shared" si="3"/>
        <v/>
      </c>
      <c r="P39" s="260"/>
      <c r="Q39" s="169">
        <f t="shared" si="4"/>
        <v>0</v>
      </c>
      <c r="R39" s="350"/>
      <c r="S39" s="368" t="str">
        <f t="shared" si="12"/>
        <v/>
      </c>
      <c r="T39" s="350"/>
      <c r="U39" s="350"/>
      <c r="V39" s="350"/>
      <c r="W39" s="350"/>
      <c r="X39" s="234"/>
      <c r="Y39" s="234"/>
      <c r="Z39" s="234"/>
      <c r="AA39" s="348">
        <f t="shared" si="8"/>
        <v>0</v>
      </c>
      <c r="AB39" s="274">
        <f t="shared" si="13"/>
        <v>0</v>
      </c>
      <c r="AC39" s="97"/>
      <c r="AD39" s="97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</row>
    <row r="40" spans="1:51" ht="16" thickBot="1">
      <c r="A40" s="28"/>
      <c r="B40" s="17"/>
      <c r="C40" s="39"/>
      <c r="D40" s="61">
        <f ca="1">TODAY()-C40</f>
        <v>43138</v>
      </c>
      <c r="E40" s="116" t="s">
        <v>33</v>
      </c>
      <c r="F40" s="62">
        <f>G40*0.0005681818</f>
        <v>41.885311449669999</v>
      </c>
      <c r="G40" s="63">
        <f>H40*1.0936113</f>
        <v>73718.15051040001</v>
      </c>
      <c r="H40" s="6">
        <f>INT(SUM($O32:$O38))</f>
        <v>67408</v>
      </c>
      <c r="I40" s="153"/>
      <c r="J40" s="156"/>
      <c r="K40" s="157"/>
      <c r="L40" s="217">
        <f>COUNT(S5:S51)-COUNT(V5:V51)</f>
        <v>0</v>
      </c>
      <c r="M40" s="157"/>
      <c r="N40" s="157"/>
      <c r="O40" s="259" t="str">
        <f t="shared" si="3"/>
        <v/>
      </c>
      <c r="P40" s="260"/>
      <c r="Q40" s="169">
        <f t="shared" si="4"/>
        <v>0</v>
      </c>
      <c r="R40" s="351"/>
      <c r="S40" s="368" t="str">
        <f t="shared" si="12"/>
        <v/>
      </c>
      <c r="T40" s="351"/>
      <c r="U40" s="351"/>
      <c r="V40" s="351"/>
      <c r="W40" s="351"/>
      <c r="X40" s="234"/>
      <c r="Y40" s="234"/>
      <c r="Z40" s="234"/>
      <c r="AA40" s="348">
        <f t="shared" si="8"/>
        <v>0</v>
      </c>
      <c r="AB40" s="274">
        <f t="shared" si="13"/>
        <v>0</v>
      </c>
      <c r="AC40" s="97"/>
      <c r="AD40" s="97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</row>
    <row r="41" spans="1:51" ht="16" thickTop="1">
      <c r="A41" s="1" t="s">
        <v>12</v>
      </c>
      <c r="B41" s="57">
        <f t="shared" ref="B41:B47" si="45">IF(B$3&lt;C41,0,C41)</f>
        <v>43430</v>
      </c>
      <c r="C41" s="40">
        <f>C38+1</f>
        <v>43430</v>
      </c>
      <c r="D41" s="22">
        <f t="shared" ca="1" si="1"/>
        <v>-292</v>
      </c>
      <c r="E41" s="118" t="str">
        <f>IF(B41=0,"","Monday")</f>
        <v>Monday</v>
      </c>
      <c r="F41" s="55"/>
      <c r="G41" s="56"/>
      <c r="H41" s="56"/>
      <c r="I41" s="200"/>
      <c r="J41" s="128"/>
      <c r="K41" s="201" t="str">
        <f t="shared" ref="K41" si="46">IF(R41=0,"",IF(L41="","",J41))</f>
        <v/>
      </c>
      <c r="L41" s="128"/>
      <c r="M41" s="56" t="str">
        <f>IF(R41=0,"",IF(J41="","",L41))</f>
        <v/>
      </c>
      <c r="N41" s="330"/>
      <c r="O41" s="259">
        <f t="shared" si="3"/>
        <v>9629.7812999197922</v>
      </c>
      <c r="P41" s="260">
        <f t="shared" ref="P41:P47" si="47">H$56</f>
        <v>288890.12519967917</v>
      </c>
      <c r="Q41" s="169">
        <f t="shared" si="4"/>
        <v>179.50800173632695</v>
      </c>
      <c r="R41" s="169">
        <f>IF(R$2=3,H41+G41/1.0936133+F41/0.0006213712,IF(R$2=2,H41*1.0936133+G41+F41/0.0005681818,IF(R$2=1,H41*0.0005681818*1.0936133+G41*0.0005681818+F41,"")))</f>
        <v>0</v>
      </c>
      <c r="S41" s="368" t="str">
        <f t="shared" si="12"/>
        <v/>
      </c>
      <c r="T41" s="169"/>
      <c r="U41" s="169"/>
      <c r="V41" s="170" t="str">
        <f t="shared" ref="V41:V47" si="48">IF(L41="","",IF(R41=0,"",IF(B41=0,"",IF($R$2=3,R41/L41*60/1000,IF($R$2=2,R41/L41*60/1760,IF($R$2=1,R41/L41*60,""))))))</f>
        <v/>
      </c>
      <c r="W41" s="170" t="str">
        <f t="shared" ref="W41:W47" si="49">IF(R41=0,"",IF(L41="","",V41*L41))</f>
        <v/>
      </c>
      <c r="X41" s="259">
        <f>F41+X38</f>
        <v>0</v>
      </c>
      <c r="Y41" s="259">
        <f>G41+Y38</f>
        <v>0</v>
      </c>
      <c r="Z41" s="259">
        <f>H41+Z38</f>
        <v>0</v>
      </c>
      <c r="AA41" s="348">
        <f t="shared" si="8"/>
        <v>0</v>
      </c>
      <c r="AB41" s="274">
        <f t="shared" si="13"/>
        <v>0</v>
      </c>
      <c r="AC41" s="97"/>
      <c r="AD41" s="97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</row>
    <row r="42" spans="1:51">
      <c r="A42" s="1"/>
      <c r="B42" s="5">
        <f t="shared" si="45"/>
        <v>43431</v>
      </c>
      <c r="C42" s="38">
        <f t="shared" ref="C42:C47" si="50">C41+1</f>
        <v>43431</v>
      </c>
      <c r="D42" s="7">
        <f t="shared" ca="1" si="1"/>
        <v>-293</v>
      </c>
      <c r="E42" s="114" t="str">
        <f>IF(B42=0,"","Tuesday")</f>
        <v>Tuesday</v>
      </c>
      <c r="F42" s="55"/>
      <c r="G42" s="56"/>
      <c r="H42" s="56"/>
      <c r="I42" s="200"/>
      <c r="J42" s="56"/>
      <c r="K42" s="201" t="str">
        <f>IF(R42=0,"",IF(L42="","",J42))</f>
        <v/>
      </c>
      <c r="L42" s="56"/>
      <c r="M42" s="56" t="str">
        <f t="shared" ref="M42:M47" si="51">IF(R42=0,"",IF(J42="","",L42))</f>
        <v/>
      </c>
      <c r="N42" s="324"/>
      <c r="O42" s="259">
        <f t="shared" si="3"/>
        <v>9629.7812999197922</v>
      </c>
      <c r="P42" s="260">
        <f t="shared" si="47"/>
        <v>288890.12519967917</v>
      </c>
      <c r="Q42" s="169">
        <f t="shared" si="4"/>
        <v>179.50800173632695</v>
      </c>
      <c r="R42" s="169">
        <f t="shared" ref="R42:R47" si="52">IF(R$2=3,H42+G42/1.0936133+F42/0.0006213712,IF(R$2=2,H42*1.0936133+G42+F42/0.0005681818,IF(R$2=1,H42*0.0005681818*1.0936133+G42*0.0005681818+F42,"")))</f>
        <v>0</v>
      </c>
      <c r="S42" s="368" t="str">
        <f t="shared" si="12"/>
        <v/>
      </c>
      <c r="T42" s="169"/>
      <c r="U42" s="169"/>
      <c r="V42" s="170" t="str">
        <f t="shared" si="48"/>
        <v/>
      </c>
      <c r="W42" s="170" t="str">
        <f t="shared" si="49"/>
        <v/>
      </c>
      <c r="X42" s="259">
        <f t="shared" ref="X42:Z47" si="53">F42+X41</f>
        <v>0</v>
      </c>
      <c r="Y42" s="259">
        <f t="shared" si="53"/>
        <v>0</v>
      </c>
      <c r="Z42" s="259">
        <f t="shared" si="53"/>
        <v>0</v>
      </c>
      <c r="AA42" s="348">
        <f t="shared" si="8"/>
        <v>0</v>
      </c>
      <c r="AB42" s="274">
        <f t="shared" si="13"/>
        <v>0</v>
      </c>
      <c r="AC42" s="97"/>
      <c r="AD42" s="97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</row>
    <row r="43" spans="1:51">
      <c r="A43" s="1"/>
      <c r="B43" s="5">
        <f t="shared" si="45"/>
        <v>43432</v>
      </c>
      <c r="C43" s="38">
        <f t="shared" si="50"/>
        <v>43432</v>
      </c>
      <c r="D43" s="7">
        <f t="shared" ca="1" si="1"/>
        <v>-294</v>
      </c>
      <c r="E43" s="114" t="str">
        <f>IF(B43=0,"","Wednesday")</f>
        <v>Wednesday</v>
      </c>
      <c r="F43" s="55"/>
      <c r="G43" s="56"/>
      <c r="H43" s="56"/>
      <c r="I43" s="200"/>
      <c r="J43" s="56"/>
      <c r="K43" s="201" t="str">
        <f t="shared" ref="K43:K47" si="54">IF(R43=0,"",IF(L43="","",J43))</f>
        <v/>
      </c>
      <c r="L43" s="56"/>
      <c r="M43" s="56" t="str">
        <f t="shared" si="51"/>
        <v/>
      </c>
      <c r="N43" s="324"/>
      <c r="O43" s="259">
        <f t="shared" si="3"/>
        <v>9629.7812999197922</v>
      </c>
      <c r="P43" s="260">
        <f t="shared" si="47"/>
        <v>288890.12519967917</v>
      </c>
      <c r="Q43" s="169">
        <f t="shared" si="4"/>
        <v>179.50800173632695</v>
      </c>
      <c r="R43" s="169">
        <f t="shared" si="52"/>
        <v>0</v>
      </c>
      <c r="S43" s="368" t="str">
        <f t="shared" si="12"/>
        <v/>
      </c>
      <c r="T43" s="169"/>
      <c r="U43" s="169"/>
      <c r="V43" s="170" t="str">
        <f t="shared" si="48"/>
        <v/>
      </c>
      <c r="W43" s="170" t="str">
        <f t="shared" si="49"/>
        <v/>
      </c>
      <c r="X43" s="259">
        <f t="shared" si="53"/>
        <v>0</v>
      </c>
      <c r="Y43" s="259">
        <f t="shared" si="53"/>
        <v>0</v>
      </c>
      <c r="Z43" s="259">
        <f t="shared" si="53"/>
        <v>0</v>
      </c>
      <c r="AA43" s="348">
        <f t="shared" si="8"/>
        <v>0</v>
      </c>
      <c r="AB43" s="274">
        <f t="shared" si="13"/>
        <v>0</v>
      </c>
      <c r="AC43" s="97"/>
      <c r="AD43" s="97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</row>
    <row r="44" spans="1:51">
      <c r="A44" s="1"/>
      <c r="B44" s="5">
        <f t="shared" si="45"/>
        <v>43433</v>
      </c>
      <c r="C44" s="38">
        <f t="shared" si="50"/>
        <v>43433</v>
      </c>
      <c r="D44" s="7">
        <f t="shared" ca="1" si="1"/>
        <v>-295</v>
      </c>
      <c r="E44" s="114" t="str">
        <f>IF(B44=0,"","Thursday")</f>
        <v>Thursday</v>
      </c>
      <c r="F44" s="55"/>
      <c r="G44" s="56"/>
      <c r="H44" s="56"/>
      <c r="I44" s="200"/>
      <c r="J44" s="56"/>
      <c r="K44" s="201" t="str">
        <f t="shared" si="54"/>
        <v/>
      </c>
      <c r="L44" s="56"/>
      <c r="M44" s="56" t="str">
        <f t="shared" si="51"/>
        <v/>
      </c>
      <c r="N44" s="324"/>
      <c r="O44" s="259">
        <f t="shared" si="3"/>
        <v>9629.7812999197922</v>
      </c>
      <c r="P44" s="260">
        <f t="shared" si="47"/>
        <v>288890.12519967917</v>
      </c>
      <c r="Q44" s="169">
        <f t="shared" si="4"/>
        <v>179.50800173632695</v>
      </c>
      <c r="R44" s="169">
        <f t="shared" si="52"/>
        <v>0</v>
      </c>
      <c r="S44" s="368" t="str">
        <f t="shared" si="12"/>
        <v/>
      </c>
      <c r="T44" s="169"/>
      <c r="U44" s="169"/>
      <c r="V44" s="170" t="str">
        <f t="shared" si="48"/>
        <v/>
      </c>
      <c r="W44" s="170" t="str">
        <f t="shared" si="49"/>
        <v/>
      </c>
      <c r="X44" s="259">
        <f t="shared" si="53"/>
        <v>0</v>
      </c>
      <c r="Y44" s="259">
        <f t="shared" si="53"/>
        <v>0</v>
      </c>
      <c r="Z44" s="259">
        <f t="shared" si="53"/>
        <v>0</v>
      </c>
      <c r="AA44" s="348">
        <f t="shared" si="8"/>
        <v>0</v>
      </c>
      <c r="AB44" s="274">
        <f t="shared" si="13"/>
        <v>0</v>
      </c>
      <c r="AC44" s="97"/>
      <c r="AD44" s="97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</row>
    <row r="45" spans="1:51">
      <c r="A45" s="1"/>
      <c r="B45" s="5">
        <f t="shared" si="45"/>
        <v>43434</v>
      </c>
      <c r="C45" s="38">
        <f t="shared" si="50"/>
        <v>43434</v>
      </c>
      <c r="D45" s="7">
        <f t="shared" ca="1" si="1"/>
        <v>-296</v>
      </c>
      <c r="E45" s="114" t="str">
        <f>IF(B45=0,"","Friday")</f>
        <v>Friday</v>
      </c>
      <c r="F45" s="55"/>
      <c r="G45" s="56"/>
      <c r="H45" s="56"/>
      <c r="I45" s="200"/>
      <c r="J45" s="56"/>
      <c r="K45" s="201" t="str">
        <f t="shared" si="54"/>
        <v/>
      </c>
      <c r="L45" s="56"/>
      <c r="M45" s="56" t="str">
        <f t="shared" si="51"/>
        <v/>
      </c>
      <c r="N45" s="324"/>
      <c r="O45" s="259">
        <f t="shared" si="3"/>
        <v>9629.7812999197922</v>
      </c>
      <c r="P45" s="260">
        <f t="shared" si="47"/>
        <v>288890.12519967917</v>
      </c>
      <c r="Q45" s="169">
        <f t="shared" si="4"/>
        <v>179.50800173632695</v>
      </c>
      <c r="R45" s="169">
        <f t="shared" si="52"/>
        <v>0</v>
      </c>
      <c r="S45" s="368" t="str">
        <f t="shared" si="12"/>
        <v/>
      </c>
      <c r="T45" s="169"/>
      <c r="U45" s="169"/>
      <c r="V45" s="170" t="str">
        <f t="shared" si="48"/>
        <v/>
      </c>
      <c r="W45" s="170" t="str">
        <f t="shared" si="49"/>
        <v/>
      </c>
      <c r="X45" s="259">
        <f t="shared" si="53"/>
        <v>0</v>
      </c>
      <c r="Y45" s="259">
        <f t="shared" si="53"/>
        <v>0</v>
      </c>
      <c r="Z45" s="259">
        <f t="shared" si="53"/>
        <v>0</v>
      </c>
      <c r="AA45" s="348">
        <f t="shared" si="8"/>
        <v>0</v>
      </c>
      <c r="AB45" s="274">
        <f t="shared" si="13"/>
        <v>0</v>
      </c>
      <c r="AC45" s="97"/>
      <c r="AD45" s="97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</row>
    <row r="46" spans="1:51">
      <c r="A46" s="1"/>
      <c r="B46" s="5">
        <f t="shared" si="45"/>
        <v>0</v>
      </c>
      <c r="C46" s="38">
        <f t="shared" si="50"/>
        <v>43435</v>
      </c>
      <c r="D46" s="7">
        <f t="shared" ca="1" si="1"/>
        <v>-297</v>
      </c>
      <c r="E46" s="114" t="str">
        <f>IF(B46=0,"","Saturday")</f>
        <v/>
      </c>
      <c r="F46" s="55"/>
      <c r="G46" s="56"/>
      <c r="H46" s="56"/>
      <c r="I46" s="200"/>
      <c r="J46" s="56"/>
      <c r="K46" s="201" t="str">
        <f t="shared" si="54"/>
        <v/>
      </c>
      <c r="L46" s="56"/>
      <c r="M46" s="56" t="str">
        <f t="shared" si="51"/>
        <v/>
      </c>
      <c r="N46" s="324"/>
      <c r="O46" s="259" t="str">
        <f t="shared" si="3"/>
        <v/>
      </c>
      <c r="P46" s="260">
        <f t="shared" si="47"/>
        <v>288890.12519967917</v>
      </c>
      <c r="Q46" s="169">
        <f t="shared" si="4"/>
        <v>179.50800173632695</v>
      </c>
      <c r="R46" s="169">
        <f t="shared" si="52"/>
        <v>0</v>
      </c>
      <c r="S46" s="368" t="str">
        <f t="shared" si="12"/>
        <v/>
      </c>
      <c r="T46" s="169"/>
      <c r="U46" s="169"/>
      <c r="V46" s="170" t="str">
        <f t="shared" si="48"/>
        <v/>
      </c>
      <c r="W46" s="170" t="str">
        <f t="shared" si="49"/>
        <v/>
      </c>
      <c r="X46" s="259">
        <f t="shared" si="53"/>
        <v>0</v>
      </c>
      <c r="Y46" s="259">
        <f t="shared" si="53"/>
        <v>0</v>
      </c>
      <c r="Z46" s="259">
        <f t="shared" si="53"/>
        <v>0</v>
      </c>
      <c r="AA46" s="348">
        <f t="shared" si="8"/>
        <v>0</v>
      </c>
      <c r="AB46" s="274">
        <f t="shared" si="13"/>
        <v>0</v>
      </c>
      <c r="AC46" s="97"/>
      <c r="AD46" s="97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</row>
    <row r="47" spans="1:51" ht="16" thickBot="1">
      <c r="A47" s="1"/>
      <c r="B47" s="53">
        <f t="shared" si="45"/>
        <v>0</v>
      </c>
      <c r="C47" s="41">
        <f t="shared" si="50"/>
        <v>43436</v>
      </c>
      <c r="D47" s="54">
        <f t="shared" ca="1" si="1"/>
        <v>-298</v>
      </c>
      <c r="E47" s="117" t="str">
        <f>IF(B47=0,"","Sunday")</f>
        <v/>
      </c>
      <c r="F47" s="55"/>
      <c r="G47" s="56"/>
      <c r="H47" s="56"/>
      <c r="I47" s="200"/>
      <c r="J47" s="56"/>
      <c r="K47" s="201" t="str">
        <f t="shared" si="54"/>
        <v/>
      </c>
      <c r="L47" s="56"/>
      <c r="M47" s="56" t="str">
        <f t="shared" si="51"/>
        <v/>
      </c>
      <c r="N47" s="329"/>
      <c r="O47" s="259" t="str">
        <f t="shared" si="3"/>
        <v/>
      </c>
      <c r="P47" s="260">
        <f t="shared" si="47"/>
        <v>288890.12519967917</v>
      </c>
      <c r="Q47" s="169">
        <f t="shared" si="4"/>
        <v>179.50800173632695</v>
      </c>
      <c r="R47" s="169">
        <f t="shared" si="52"/>
        <v>0</v>
      </c>
      <c r="S47" s="368" t="str">
        <f t="shared" si="12"/>
        <v/>
      </c>
      <c r="T47" s="169"/>
      <c r="U47" s="169"/>
      <c r="V47" s="170" t="str">
        <f t="shared" si="48"/>
        <v/>
      </c>
      <c r="W47" s="170" t="str">
        <f t="shared" si="49"/>
        <v/>
      </c>
      <c r="X47" s="259">
        <f t="shared" si="53"/>
        <v>0</v>
      </c>
      <c r="Y47" s="259">
        <f t="shared" si="53"/>
        <v>0</v>
      </c>
      <c r="Z47" s="259">
        <f t="shared" si="53"/>
        <v>0</v>
      </c>
      <c r="AA47" s="348">
        <f t="shared" si="8"/>
        <v>0</v>
      </c>
      <c r="AB47" s="274">
        <f t="shared" si="13"/>
        <v>0</v>
      </c>
      <c r="AC47" s="97"/>
      <c r="AD47" s="97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</row>
    <row r="48" spans="1:51" ht="16" thickTop="1">
      <c r="A48" s="29"/>
      <c r="B48" s="16"/>
      <c r="C48" s="42"/>
      <c r="D48" s="60">
        <f ca="1">TODAY()-C48</f>
        <v>43138</v>
      </c>
      <c r="E48" s="113" t="s">
        <v>76</v>
      </c>
      <c r="F48" s="59">
        <f ca="1">G48*0.000568181818</f>
        <v>-1.2427401132386871E-58</v>
      </c>
      <c r="G48" s="19">
        <f ca="1">H48*1.0936113</f>
        <v>-2.1872226000000002E-55</v>
      </c>
      <c r="H48" s="20">
        <f ca="1">IF(SUM(B41:B47)=0,-1E-55,IF(TODAY()&gt;=B$41,(AA47-AA38)*1000,-2E-55))</f>
        <v>-2E-55</v>
      </c>
      <c r="I48" s="152"/>
      <c r="J48" s="432" t="s">
        <v>121</v>
      </c>
      <c r="K48" s="456"/>
      <c r="L48" s="456"/>
      <c r="M48" s="457"/>
      <c r="N48" s="457"/>
      <c r="O48" s="259" t="str">
        <f t="shared" si="3"/>
        <v/>
      </c>
      <c r="P48" s="230"/>
      <c r="Q48" s="169">
        <f t="shared" si="4"/>
        <v>0</v>
      </c>
      <c r="R48" s="350"/>
      <c r="S48" s="368" t="str">
        <f t="shared" si="12"/>
        <v/>
      </c>
      <c r="T48" s="350"/>
      <c r="U48" s="350"/>
      <c r="V48" s="350"/>
      <c r="W48" s="350"/>
      <c r="X48" s="259"/>
      <c r="Y48" s="259" t="str">
        <f>IF(A48=0,"",G48+Y36)</f>
        <v/>
      </c>
      <c r="Z48" s="259" t="str">
        <f>IF(B48=0,"",H48+Z36)</f>
        <v/>
      </c>
      <c r="AA48" s="348"/>
      <c r="AB48" s="274">
        <f t="shared" si="13"/>
        <v>0</v>
      </c>
      <c r="AC48" s="97"/>
      <c r="AD48" s="97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</row>
    <row r="49" spans="1:54" ht="19" thickBot="1">
      <c r="A49" s="28"/>
      <c r="B49" s="17"/>
      <c r="C49" s="39"/>
      <c r="D49" s="61">
        <f ca="1">TODAY()-C49</f>
        <v>43138</v>
      </c>
      <c r="E49" s="116" t="s">
        <v>33</v>
      </c>
      <c r="F49" s="62">
        <f>G49*0.0005681818</f>
        <v>29.917724538314605</v>
      </c>
      <c r="G49" s="63">
        <f>H49*1.0936113</f>
        <v>52655.196872400003</v>
      </c>
      <c r="H49" s="6">
        <f>INT(SUM($O41:$O47))</f>
        <v>48148</v>
      </c>
      <c r="I49" s="153"/>
      <c r="J49" s="434" t="str">
        <f>IF(R$2=1,"MILES",IF(R$2=2,"YARDS",IF(R$2=3,"METRES","????")))</f>
        <v>MILES</v>
      </c>
      <c r="K49" s="441"/>
      <c r="L49" s="441"/>
      <c r="M49" s="442"/>
      <c r="N49" s="442"/>
      <c r="O49" s="259" t="str">
        <f t="shared" si="3"/>
        <v/>
      </c>
      <c r="P49" s="234"/>
      <c r="Q49" s="169">
        <f t="shared" si="4"/>
        <v>0</v>
      </c>
      <c r="R49" s="351"/>
      <c r="S49" s="368" t="str">
        <f t="shared" si="12"/>
        <v/>
      </c>
      <c r="T49" s="351"/>
      <c r="U49" s="351"/>
      <c r="V49" s="351"/>
      <c r="W49" s="351"/>
      <c r="X49" s="259"/>
      <c r="Y49" s="259" t="str">
        <f>IF(A49=0,"",G49+Y37)</f>
        <v/>
      </c>
      <c r="Z49" s="259" t="str">
        <f>IF(B49=0,"",H49+Z37)</f>
        <v/>
      </c>
      <c r="AA49" s="348"/>
      <c r="AB49" s="274">
        <f t="shared" si="13"/>
        <v>0</v>
      </c>
      <c r="AC49" s="97"/>
      <c r="AD49" s="97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4"/>
      <c r="BA49" s="14"/>
      <c r="BB49" s="14"/>
    </row>
    <row r="50" spans="1:54" ht="16" thickTop="1">
      <c r="A50" s="1" t="s">
        <v>22</v>
      </c>
      <c r="B50" s="57">
        <f t="shared" ref="B50:B51" si="55">IF(B$3&lt;C50,0,C50)</f>
        <v>0</v>
      </c>
      <c r="C50" s="40">
        <f>C47+1</f>
        <v>43437</v>
      </c>
      <c r="D50" s="22">
        <f t="shared" ca="1" si="1"/>
        <v>-299</v>
      </c>
      <c r="E50" s="118" t="str">
        <f>IF(B50=0,"","Monday")</f>
        <v/>
      </c>
      <c r="F50" s="55"/>
      <c r="G50" s="56"/>
      <c r="H50" s="56"/>
      <c r="I50" s="200"/>
      <c r="J50" s="128"/>
      <c r="K50" s="201" t="str">
        <f t="shared" ref="K50" si="56">IF(R50=0,"",IF(L50="","",J50))</f>
        <v/>
      </c>
      <c r="L50" s="128"/>
      <c r="M50" s="56" t="str">
        <f>IF(R50=0,"",IF(J50="","",L50))</f>
        <v/>
      </c>
      <c r="N50" s="330"/>
      <c r="O50" s="259" t="str">
        <f t="shared" si="3"/>
        <v/>
      </c>
      <c r="P50" s="260">
        <f>H$56</f>
        <v>288890.12519967917</v>
      </c>
      <c r="Q50" s="169">
        <f t="shared" si="4"/>
        <v>179.50800173632695</v>
      </c>
      <c r="R50" s="169">
        <f>IF(R$2=3,H50+G50/1.0936133+F50/0.0006213712,IF(R$2=2,H50*1.0936133+G50+F50/0.0005681818,IF(R$2=1,H50*0.0005681818*1.0936133+G50*0.0005681818+F50,"")))</f>
        <v>0</v>
      </c>
      <c r="S50" s="368" t="str">
        <f t="shared" si="12"/>
        <v/>
      </c>
      <c r="T50" s="169"/>
      <c r="U50" s="169"/>
      <c r="V50" s="170" t="str">
        <f>IF(L50="","",IF(R50=0,"",IF(B50=0,"",IF($R$2=3,R50/L50*60/1000,IF($R$2=2,R50/L50*60/1760,IF($R$2=1,R50/L50*60,""))))))</f>
        <v/>
      </c>
      <c r="W50" s="170" t="str">
        <f>IF(R50=0,"",IF(L50="","",V50*L50))</f>
        <v/>
      </c>
      <c r="X50" s="259">
        <f>F50+X47</f>
        <v>0</v>
      </c>
      <c r="Y50" s="259">
        <f>G50+Y47</f>
        <v>0</v>
      </c>
      <c r="Z50" s="259">
        <f>H50+Z47</f>
        <v>0</v>
      </c>
      <c r="AA50" s="348">
        <f t="shared" si="8"/>
        <v>0</v>
      </c>
      <c r="AB50" s="274">
        <f t="shared" si="13"/>
        <v>0</v>
      </c>
      <c r="AC50" s="97"/>
      <c r="AD50" s="97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</row>
    <row r="51" spans="1:54" ht="16" thickBot="1">
      <c r="A51" s="1"/>
      <c r="B51" s="5">
        <f t="shared" si="55"/>
        <v>0</v>
      </c>
      <c r="C51" s="38">
        <f t="shared" ref="C51" si="57">C50+1</f>
        <v>43438</v>
      </c>
      <c r="D51" s="7">
        <f t="shared" ca="1" si="1"/>
        <v>-300</v>
      </c>
      <c r="E51" s="114" t="str">
        <f>IF(B51=0,"","Tuesday")</f>
        <v/>
      </c>
      <c r="F51" s="55"/>
      <c r="G51" s="56"/>
      <c r="H51" s="56"/>
      <c r="I51" s="200"/>
      <c r="J51" s="56"/>
      <c r="K51" s="201" t="str">
        <f>IF(R51=0,"",IF(L51="","",J51))</f>
        <v/>
      </c>
      <c r="L51" s="56"/>
      <c r="M51" s="56" t="str">
        <f t="shared" ref="M51" si="58">IF(R51=0,"",IF(J51="","",L51))</f>
        <v/>
      </c>
      <c r="N51" s="329"/>
      <c r="O51" s="259" t="str">
        <f t="shared" si="3"/>
        <v/>
      </c>
      <c r="P51" s="260">
        <f>H$56</f>
        <v>288890.12519967917</v>
      </c>
      <c r="Q51" s="169">
        <f t="shared" si="4"/>
        <v>179.50800173632695</v>
      </c>
      <c r="R51" s="169">
        <f>IF(R$2=3,H51+G51/1.0936133+F51/0.0006213712,IF(R$2=2,H51*1.0936133+G51+F51/0.0005681818,IF(R$2=1,H51*0.0005681818*1.0936133+G51*0.0005681818+F51,"")))</f>
        <v>0</v>
      </c>
      <c r="S51" s="368" t="str">
        <f t="shared" si="12"/>
        <v/>
      </c>
      <c r="T51" s="169"/>
      <c r="U51" s="169"/>
      <c r="V51" s="170" t="str">
        <f>IF(L51="","",IF(R51=0,"",IF(B51=0,"",IF($R$2=3,R51/L51*60/1000,IF($R$2=2,R51/L51*60/1760,IF($R$2=1,R51/L51*60,""))))))</f>
        <v/>
      </c>
      <c r="W51" s="170" t="str">
        <f>IF(R51=0,"",IF(L51="","",V51*L51))</f>
        <v/>
      </c>
      <c r="X51" s="259">
        <f>F51+X50</f>
        <v>0</v>
      </c>
      <c r="Y51" s="259">
        <f>G51+Y50</f>
        <v>0</v>
      </c>
      <c r="Z51" s="259">
        <f>H51+Z50</f>
        <v>0</v>
      </c>
      <c r="AA51" s="348">
        <f t="shared" si="8"/>
        <v>0</v>
      </c>
      <c r="AB51" s="274">
        <f t="shared" si="13"/>
        <v>0</v>
      </c>
      <c r="AC51" s="97"/>
      <c r="AD51" s="97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</row>
    <row r="52" spans="1:54" ht="17" thickTop="1" thickBot="1">
      <c r="A52" s="29"/>
      <c r="B52" s="16"/>
      <c r="C52" s="42"/>
      <c r="D52" s="60"/>
      <c r="E52" s="113" t="s">
        <v>76</v>
      </c>
      <c r="F52" s="59">
        <f ca="1">G52*0.000568181818</f>
        <v>-6.2137005661934355E-59</v>
      </c>
      <c r="G52" s="19">
        <f ca="1">H52*1.0936113</f>
        <v>-1.0936113000000001E-55</v>
      </c>
      <c r="H52" s="129">
        <f ca="1">IF(SUM(B50:B51)=0,-1E-55,IF(TODAY()&gt;=B50,(AA51-AA47)*1000,-2E-55))</f>
        <v>-9.9999999999999999E-56</v>
      </c>
      <c r="I52" s="137"/>
      <c r="J52" s="422" t="s">
        <v>120</v>
      </c>
      <c r="K52" s="423"/>
      <c r="L52" s="423"/>
      <c r="M52" s="147"/>
      <c r="N52" s="332" t="str">
        <f>IF(R$2=1,"Distance (miles)",IF(R$2=2,"Distance (yds)",IF(R$2=3,"Distance (km)","????")))</f>
        <v>Distance (miles)</v>
      </c>
      <c r="O52" s="259"/>
      <c r="P52" s="234" t="s">
        <v>1</v>
      </c>
      <c r="Q52" s="234" t="s">
        <v>2</v>
      </c>
      <c r="R52" s="234" t="s">
        <v>3</v>
      </c>
      <c r="S52" s="234" t="s">
        <v>4</v>
      </c>
      <c r="T52" s="234" t="s">
        <v>5</v>
      </c>
      <c r="U52" s="234" t="s">
        <v>6</v>
      </c>
      <c r="V52" s="234" t="s">
        <v>7</v>
      </c>
      <c r="W52" s="259"/>
      <c r="X52" s="259"/>
      <c r="Y52" s="259"/>
      <c r="Z52" s="348"/>
      <c r="AA52" s="274"/>
      <c r="AB52" s="226"/>
      <c r="AC52" s="97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</row>
    <row r="53" spans="1:54" ht="16" thickBot="1">
      <c r="A53" s="28"/>
      <c r="B53" s="17"/>
      <c r="C53" s="39"/>
      <c r="D53" s="61"/>
      <c r="E53" s="116" t="s">
        <v>33</v>
      </c>
      <c r="F53" s="62">
        <f>G53*0.0005681818</f>
        <v>-6.2137003693434006E-59</v>
      </c>
      <c r="G53" s="63">
        <f>H53*1.0936113</f>
        <v>-1.0936113000000001E-55</v>
      </c>
      <c r="H53" s="131">
        <f>IF(SUM($O50:$O51)=0,-1E-55,SUM($O50:$O51))</f>
        <v>-9.9999999999999999E-56</v>
      </c>
      <c r="I53" s="136"/>
      <c r="J53" s="158" t="str">
        <f>'MY STATS'!AF44</f>
        <v/>
      </c>
      <c r="K53" s="159" t="str">
        <f>IF(J53="","x",J53)</f>
        <v>x</v>
      </c>
      <c r="L53" s="206" t="str">
        <f>IF(J53="","",SUMIF(K$5:K$51,K53,M$5:M$51)/1440)</f>
        <v/>
      </c>
      <c r="M53" s="207" t="str">
        <f>IF(J53="","",IF('MY STATS'!$A$15=3,SUMIF(K$5:K$51,J53,R$5:R$51)/1000,SUMIF(K$5:K$51,J53,R$5:R$51)))</f>
        <v/>
      </c>
      <c r="N53" s="333" t="str">
        <f>IF(J53="","",IF('MY STATS'!$A$15=3,SUMIF(J$5:J$51,J53,R$5:R$51)/1000,SUMIF(J$5:J$51,J53,R$5:R$51)))</f>
        <v/>
      </c>
      <c r="O53" s="353" t="s">
        <v>58</v>
      </c>
      <c r="P53" s="234">
        <f t="shared" ref="P53:V53" si="59">COUNTIFS($E$5:$E$51,P52)</f>
        <v>4</v>
      </c>
      <c r="Q53" s="234">
        <f t="shared" si="59"/>
        <v>4</v>
      </c>
      <c r="R53" s="234">
        <f t="shared" si="59"/>
        <v>4</v>
      </c>
      <c r="S53" s="234">
        <f t="shared" si="59"/>
        <v>5</v>
      </c>
      <c r="T53" s="234">
        <f t="shared" si="59"/>
        <v>5</v>
      </c>
      <c r="U53" s="234">
        <f t="shared" si="59"/>
        <v>4</v>
      </c>
      <c r="V53" s="234">
        <f t="shared" si="59"/>
        <v>4</v>
      </c>
      <c r="W53" s="259"/>
      <c r="X53" s="259"/>
      <c r="Y53" s="259"/>
      <c r="Z53" s="348"/>
      <c r="AA53" s="274"/>
      <c r="AB53" s="226"/>
      <c r="AC53" s="97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</row>
    <row r="54" spans="1:54" ht="17" thickTop="1" thickBot="1">
      <c r="A54" s="11"/>
      <c r="B54" s="11"/>
      <c r="C54" s="11"/>
      <c r="D54" s="11"/>
      <c r="E54" s="11"/>
      <c r="F54" s="11" t="s">
        <v>34</v>
      </c>
      <c r="G54" s="11" t="s">
        <v>35</v>
      </c>
      <c r="H54" s="11" t="s">
        <v>37</v>
      </c>
      <c r="I54" s="135"/>
      <c r="J54" s="160" t="str">
        <f>'MY STATS'!AG44</f>
        <v/>
      </c>
      <c r="K54" s="161" t="str">
        <f t="shared" ref="K54:K59" si="60">IF(J54="","x",J54)</f>
        <v>x</v>
      </c>
      <c r="L54" s="208" t="str">
        <f>IF(J54="","",SUMIF(K$5:K$51,K54,M$5:M$51)/1440)</f>
        <v/>
      </c>
      <c r="M54" s="209" t="str">
        <f>IF(J54="","",IF('MY STATS'!$A$15=3,SUMIF(K$5:K$51,J54,R$5:R$51)/1000,SUMIF(K$5:K$51,J54,R$5:R$51)))</f>
        <v/>
      </c>
      <c r="N54" s="334" t="str">
        <f>IF(J54="","",IF('MY STATS'!$A$15=3,SUMIF(J$5:J$51,J54,R$5:R$51)/1000,SUMIF(J$5:J$51,J54,R$5:R$51)))</f>
        <v/>
      </c>
      <c r="O54" s="353" t="s">
        <v>57</v>
      </c>
      <c r="P54" s="234">
        <f t="shared" ref="P54:V54" ca="1" si="61">COUNTIFS($D$5:$D$51,"&gt;-1",$E$5:$E$51,P52)</f>
        <v>0</v>
      </c>
      <c r="Q54" s="234">
        <f t="shared" ca="1" si="61"/>
        <v>0</v>
      </c>
      <c r="R54" s="234">
        <f t="shared" ca="1" si="61"/>
        <v>0</v>
      </c>
      <c r="S54" s="234">
        <f t="shared" ca="1" si="61"/>
        <v>0</v>
      </c>
      <c r="T54" s="234">
        <f t="shared" ca="1" si="61"/>
        <v>0</v>
      </c>
      <c r="U54" s="234">
        <f t="shared" ca="1" si="61"/>
        <v>0</v>
      </c>
      <c r="V54" s="234">
        <f t="shared" ca="1" si="61"/>
        <v>0</v>
      </c>
      <c r="W54" s="259"/>
      <c r="X54" s="259"/>
      <c r="Y54" s="259"/>
      <c r="Z54" s="348"/>
      <c r="AA54" s="274"/>
      <c r="AB54" s="226"/>
      <c r="AC54" s="97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</row>
    <row r="55" spans="1:54" ht="16" thickTop="1">
      <c r="A55" s="30"/>
      <c r="B55" s="58"/>
      <c r="C55" s="43"/>
      <c r="D55" s="43"/>
      <c r="E55" s="18" t="s">
        <v>36</v>
      </c>
      <c r="F55" s="88">
        <f>G55*0.000568181818</f>
        <v>0</v>
      </c>
      <c r="G55" s="89">
        <f>H55*1.0936113</f>
        <v>0</v>
      </c>
      <c r="H55" s="132">
        <f>AA$51*1000</f>
        <v>0</v>
      </c>
      <c r="I55" s="138"/>
      <c r="J55" s="160" t="str">
        <f>'MY STATS'!AH44</f>
        <v/>
      </c>
      <c r="K55" s="161" t="str">
        <f t="shared" si="60"/>
        <v>x</v>
      </c>
      <c r="L55" s="208" t="str">
        <f>IF(J55="","",SUMIF(K$5:K$51,K55,M$5:M$51)/1440)</f>
        <v/>
      </c>
      <c r="M55" s="209" t="str">
        <f>IF(J55="","",IF('MY STATS'!$A$15=3,SUMIF(K$5:K$51,J55,R$5:R$51)/1000,SUMIF(K$5:K$51,J55,R$5:R$51)))</f>
        <v/>
      </c>
      <c r="N55" s="334" t="str">
        <f>IF(J55="","",IF('MY STATS'!$A$15=3,SUMIF(J$5:J$51,J55,R$5:R$51)/1000,SUMIF(J$5:J$51,J55,R$5:R$51)))</f>
        <v/>
      </c>
      <c r="O55" s="353" t="s">
        <v>80</v>
      </c>
      <c r="P55" s="234">
        <f t="shared" ref="P55:V55" si="62">COUNTIFS($E$5:$E$51,P52,$R$5:$R$51,"&gt;0")</f>
        <v>0</v>
      </c>
      <c r="Q55" s="234">
        <f t="shared" si="62"/>
        <v>0</v>
      </c>
      <c r="R55" s="234">
        <f t="shared" si="62"/>
        <v>0</v>
      </c>
      <c r="S55" s="234">
        <f t="shared" si="62"/>
        <v>0</v>
      </c>
      <c r="T55" s="234">
        <f t="shared" si="62"/>
        <v>0</v>
      </c>
      <c r="U55" s="234">
        <f t="shared" si="62"/>
        <v>0</v>
      </c>
      <c r="V55" s="234">
        <f t="shared" si="62"/>
        <v>0</v>
      </c>
      <c r="W55" s="259"/>
      <c r="X55" s="259"/>
      <c r="Y55" s="259"/>
      <c r="Z55" s="348"/>
      <c r="AA55" s="274"/>
      <c r="AB55" s="226"/>
      <c r="AC55" s="97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</row>
    <row r="56" spans="1:54" ht="16" thickBot="1">
      <c r="A56" s="31"/>
      <c r="B56" s="44"/>
      <c r="C56" s="44"/>
      <c r="D56" s="44"/>
      <c r="E56" s="21" t="s">
        <v>51</v>
      </c>
      <c r="F56" s="47">
        <f>G56*0.000568181818</f>
        <v>179.50767345209385</v>
      </c>
      <c r="G56" s="48">
        <f>H56*1.0936113</f>
        <v>315933.5053767839</v>
      </c>
      <c r="H56" s="133">
        <f>SUM(H$53,H40,H31,H22,H49,H13)-1</f>
        <v>288890.12519967917</v>
      </c>
      <c r="I56" s="139"/>
      <c r="J56" s="160" t="str">
        <f>'MY STATS'!AI44</f>
        <v/>
      </c>
      <c r="K56" s="161" t="str">
        <f t="shared" si="60"/>
        <v>x</v>
      </c>
      <c r="L56" s="208" t="str">
        <f>IF(J56="","",SUMIF(K$5:K$51,K56,M$5:M$51)/1440)</f>
        <v/>
      </c>
      <c r="M56" s="209" t="str">
        <f>IF(J56="","",IF('MY STATS'!$A$15=3,SUMIF(K$5:K$51,J56,R$5:R$51)/1000,SUMIF(K$5:K$51,J56,R$5:R$51)))</f>
        <v/>
      </c>
      <c r="N56" s="334" t="str">
        <f>IF(J56="","",IF('MY STATS'!$A$15=3,SUMIF(J$5:J$51,J56,R$5:R$51)/1000,SUMIF(J$5:J$51,J56,R$5:R$51)))</f>
        <v/>
      </c>
      <c r="O56" s="353" t="s">
        <v>136</v>
      </c>
      <c r="P56" s="234"/>
      <c r="Q56" s="234"/>
      <c r="R56" s="234"/>
      <c r="S56" s="234"/>
      <c r="T56" s="234"/>
      <c r="U56" s="234"/>
      <c r="V56" s="234"/>
      <c r="W56" s="259"/>
      <c r="X56" s="259"/>
      <c r="Y56" s="259"/>
      <c r="Z56" s="348"/>
      <c r="AA56" s="274"/>
      <c r="AB56" s="226"/>
      <c r="AC56" s="97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</row>
    <row r="57" spans="1:54" ht="17" thickTop="1" thickBot="1">
      <c r="A57" s="49"/>
      <c r="B57" s="49"/>
      <c r="C57" s="49"/>
      <c r="D57" s="49"/>
      <c r="E57" s="49"/>
      <c r="F57" s="49"/>
      <c r="G57" s="49"/>
      <c r="H57" s="49"/>
      <c r="I57" s="140"/>
      <c r="J57" s="160" t="str">
        <f>'MY STATS'!AJ44</f>
        <v/>
      </c>
      <c r="K57" s="161" t="str">
        <f>IF(J57="","x",J57)</f>
        <v>x</v>
      </c>
      <c r="L57" s="208" t="str">
        <f>IF(J57="","",SUMIF(K$5:K$51,K57,M$5:M$51)/1440)</f>
        <v/>
      </c>
      <c r="M57" s="209" t="str">
        <f>IF(J57="","",IF('MY STATS'!$A$15=3,SUMIF(K$5:K$51,J57,R$5:R$51)/1000,SUMIF(K$5:K$51,J57,R$5:R$51)))</f>
        <v/>
      </c>
      <c r="N57" s="334" t="str">
        <f>IF(J57="","",IF('MY STATS'!$A$15=3,SUMIF(J$5:J$51,J57,R$5:R$51)/1000,SUMIF(J$5:J$51,J57,R$5:R$51)))</f>
        <v/>
      </c>
      <c r="O57" s="353" t="s">
        <v>126</v>
      </c>
      <c r="P57" s="339">
        <f t="shared" ref="P57:V57" si="63">SUMIF($E$5:$E$51,P52,$S$5:$S$51)</f>
        <v>0</v>
      </c>
      <c r="Q57" s="339">
        <f t="shared" si="63"/>
        <v>0</v>
      </c>
      <c r="R57" s="339">
        <f t="shared" si="63"/>
        <v>0</v>
      </c>
      <c r="S57" s="339">
        <f t="shared" si="63"/>
        <v>0</v>
      </c>
      <c r="T57" s="339">
        <f t="shared" si="63"/>
        <v>0</v>
      </c>
      <c r="U57" s="339">
        <f t="shared" si="63"/>
        <v>0</v>
      </c>
      <c r="V57" s="339">
        <f t="shared" si="63"/>
        <v>0</v>
      </c>
      <c r="W57" s="230"/>
      <c r="X57" s="230"/>
      <c r="Y57" s="230"/>
      <c r="Z57" s="234"/>
      <c r="AA57" s="230"/>
      <c r="AB57" s="226"/>
      <c r="AC57" s="97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</row>
    <row r="58" spans="1:54" ht="17" thickTop="1" thickBot="1">
      <c r="A58" s="77">
        <f>A1</f>
        <v>11</v>
      </c>
      <c r="B58" s="78"/>
      <c r="C58" s="79"/>
      <c r="D58" s="71"/>
      <c r="E58" s="72" t="s">
        <v>91</v>
      </c>
      <c r="F58" s="90">
        <f>G58*0.000568181818</f>
        <v>0</v>
      </c>
      <c r="G58" s="91">
        <f>H58*1.0936113</f>
        <v>0</v>
      </c>
      <c r="H58" s="92">
        <f>H$55+G$3</f>
        <v>0</v>
      </c>
      <c r="I58" s="140"/>
      <c r="J58" s="162" t="s">
        <v>112</v>
      </c>
      <c r="K58" s="163"/>
      <c r="L58" s="210">
        <f>L59-SUM(L53:L57)</f>
        <v>0</v>
      </c>
      <c r="M58" s="211">
        <f>(M59-SUM(M53:M57))</f>
        <v>0</v>
      </c>
      <c r="N58" s="335">
        <f>(N59-SUM(N53:N57))</f>
        <v>0</v>
      </c>
      <c r="O58" s="353" t="s">
        <v>127</v>
      </c>
      <c r="P58" s="354">
        <f>IF(COUNTIFS($E$5:$E$51,P52,$L$5:$L$51,"&gt;0")=0,0,(SUMIF($E$5:$E$51,P52,$L$5:$L$51)+IF(SUMIF($E$5:$E$51,P52,$R$5:$R$51)=0,-SUMIF($E$5:$E$51,P52,$L$5:$L$51)))/60)</f>
        <v>0</v>
      </c>
      <c r="Q58" s="354">
        <f t="shared" ref="Q58:V58" si="64">IF(COUNTIFS($E$5:$E$51,Q52,$L$5:$L$51,"&gt;0")=0,0,(SUMIF($E$5:$E$51,Q52,$L$5:$L$51)+IF(SUMIF($E$5:$E$51,Q52,$R$5:$R$51)=0,-SUMIF($E$5:$E$51,Q52,$L$5:$L$51)))/60)</f>
        <v>0</v>
      </c>
      <c r="R58" s="354">
        <f t="shared" si="64"/>
        <v>0</v>
      </c>
      <c r="S58" s="354">
        <f t="shared" si="64"/>
        <v>0</v>
      </c>
      <c r="T58" s="354">
        <f t="shared" si="64"/>
        <v>0</v>
      </c>
      <c r="U58" s="354">
        <f t="shared" si="64"/>
        <v>0</v>
      </c>
      <c r="V58" s="354">
        <f t="shared" si="64"/>
        <v>0</v>
      </c>
      <c r="W58" s="230"/>
      <c r="X58" s="230"/>
      <c r="Y58" s="230"/>
      <c r="Z58" s="234"/>
      <c r="AA58" s="230"/>
      <c r="AB58" s="226"/>
      <c r="AC58" s="97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</row>
    <row r="59" spans="1:54" ht="17" thickTop="1" thickBot="1">
      <c r="A59" s="80">
        <f>A1</f>
        <v>11</v>
      </c>
      <c r="B59" s="81"/>
      <c r="C59" s="82"/>
      <c r="D59" s="73"/>
      <c r="E59" s="74" t="s">
        <v>63</v>
      </c>
      <c r="F59" s="75">
        <f>G59*0.000568181818</f>
        <v>333.9993891808009</v>
      </c>
      <c r="G59" s="76">
        <f>H59*1.0936113</f>
        <v>587838.92514631804</v>
      </c>
      <c r="H59" s="134">
        <f>VLOOKUP($A$1,'MY STATS'!B$29:K$40,10)</f>
        <v>537520.8953549749</v>
      </c>
      <c r="I59" s="138"/>
      <c r="J59" s="164" t="s">
        <v>68</v>
      </c>
      <c r="K59" s="165" t="str">
        <f t="shared" si="60"/>
        <v>total</v>
      </c>
      <c r="L59" s="212">
        <f>(SUM(L5:L51)-L40)/1440</f>
        <v>0</v>
      </c>
      <c r="M59" s="213">
        <f>IF('MY STATS'!$A$15=3,SUM(R5:R51)/1000,SUM(R5:R51))</f>
        <v>0</v>
      </c>
      <c r="N59" s="336">
        <f>IF('MY STATS'!$A$15=3,SUM(R5:R51)/1000,SUM(R5:R51))</f>
        <v>0</v>
      </c>
      <c r="O59" s="353" t="s">
        <v>111</v>
      </c>
      <c r="P59" s="235">
        <f>IFERROR(IF('MY STATS'!$A15=1,P57/P58,IF('MY STATS'!$A15=2,P57/1760/P58,IF('MY STATS'!$A15=3,P57/1000/P58,0))),0)</f>
        <v>0</v>
      </c>
      <c r="Q59" s="235">
        <f>IFERROR(IF('MY STATS'!$A15=1,Q57/Q58,IF('MY STATS'!$A15=2,Q57/1760/Q58,IF('MY STATS'!$A15=3,Q57/1000/Q58,0))),0)</f>
        <v>0</v>
      </c>
      <c r="R59" s="235">
        <f>IFERROR(IF('MY STATS'!$A15=1,R57/R58,IF('MY STATS'!$A15=2,R57/1760/R58,IF('MY STATS'!$A15=3,R57/1000/R58,0))),0)</f>
        <v>0</v>
      </c>
      <c r="S59" s="235">
        <f>IFERROR(IF('MY STATS'!$A15=1,S57/S58,IF('MY STATS'!$A15=2,S57/1760/S58,IF('MY STATS'!$A15=3,S57/1000/S58,0))),0)</f>
        <v>0</v>
      </c>
      <c r="T59" s="235">
        <f>IFERROR(IF('MY STATS'!$A15=1,T57/T58,IF('MY STATS'!$A15=2,T57/1760/T58,IF('MY STATS'!$A15=3,T57/1000/T58,0))),0)</f>
        <v>0</v>
      </c>
      <c r="U59" s="235">
        <f>IFERROR(IF('MY STATS'!$A15=1,U57/U58,IF('MY STATS'!$A15=2,U57/1760/U58,IF('MY STATS'!$A15=3,U57/1000/U58,0))),0)</f>
        <v>0</v>
      </c>
      <c r="V59" s="235">
        <f>IFERROR(IF('MY STATS'!$A15=1,V57/V58,IF('MY STATS'!$A15=2,V57/1760/V58,IF('MY STATS'!$A15=3,V57/1000/V58,0))),0)</f>
        <v>0</v>
      </c>
      <c r="W59" s="230"/>
      <c r="X59" s="230"/>
      <c r="Y59" s="230"/>
      <c r="Z59" s="234"/>
      <c r="AA59" s="230"/>
      <c r="AB59" s="226"/>
      <c r="AC59" s="97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</row>
    <row r="60" spans="1:54" ht="16" thickTop="1"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</row>
    <row r="61" spans="1:54"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</row>
    <row r="62" spans="1:54" ht="6.75" customHeight="1"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</row>
    <row r="63" spans="1:54"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</row>
    <row r="64" spans="1:54">
      <c r="S64" s="97"/>
      <c r="X64" s="8"/>
      <c r="AA64" s="3"/>
    </row>
    <row r="65" spans="19:26">
      <c r="S65" s="97"/>
    </row>
    <row r="66" spans="19:26" s="3" customFormat="1">
      <c r="S66" s="97"/>
      <c r="Z66" s="8"/>
    </row>
  </sheetData>
  <sheetProtection sheet="1" objects="1" scenarios="1" selectLockedCells="1"/>
  <mergeCells count="8">
    <mergeCell ref="J49:N49"/>
    <mergeCell ref="J52:L52"/>
    <mergeCell ref="J12:N12"/>
    <mergeCell ref="J13:N13"/>
    <mergeCell ref="J21:N22"/>
    <mergeCell ref="J30:N30"/>
    <mergeCell ref="J31:N31"/>
    <mergeCell ref="J48:N48"/>
  </mergeCells>
  <conditionalFormatting sqref="B14:B20 B23:B29 B49:B51 B40:B47 B53 B31:B38 D3 B5:B11">
    <cfRule type="cellIs" dxfId="2473" priority="1374" stopIfTrue="1" operator="notBetween">
      <formula>$B$2</formula>
      <formula>$B$3</formula>
    </cfRule>
  </conditionalFormatting>
  <conditionalFormatting sqref="B14:B20 B23:B29 B49:B51 B40:B47 B53 B31:B38 D3 B5:B11">
    <cfRule type="cellIs" dxfId="2472" priority="1375" operator="greaterThan">
      <formula>$E$3</formula>
    </cfRule>
    <cfRule type="cellIs" dxfId="2471" priority="1376" operator="equal">
      <formula>$E$3</formula>
    </cfRule>
    <cfRule type="cellIs" dxfId="2470" priority="1377" operator="lessThan">
      <formula>$E$3</formula>
    </cfRule>
  </conditionalFormatting>
  <conditionalFormatting sqref="F58:H58 F55:H55">
    <cfRule type="expression" dxfId="2469" priority="1372">
      <formula>$F55&gt;=$F56</formula>
    </cfRule>
  </conditionalFormatting>
  <conditionalFormatting sqref="F5:H10 F14:G20 F23:G29 F38:H38 F41:H47 F11:G11 F32:G37">
    <cfRule type="cellIs" dxfId="2468" priority="1362" stopIfTrue="1" operator="lessThan">
      <formula>0</formula>
    </cfRule>
  </conditionalFormatting>
  <conditionalFormatting sqref="C32:C38 C41:C47 C50:C51 C14:C20 C23:C29 C5:C11">
    <cfRule type="cellIs" dxfId="2467" priority="1367" stopIfTrue="1" operator="notBetween">
      <formula>$B$2</formula>
      <formula>$B$3</formula>
    </cfRule>
  </conditionalFormatting>
  <conditionalFormatting sqref="C41:C47 C50:C51 C32:C38 C14:C20 C23:C29 C5:C11">
    <cfRule type="cellIs" dxfId="2466" priority="1368" operator="greaterThan">
      <formula>$E$3</formula>
    </cfRule>
    <cfRule type="cellIs" dxfId="2465" priority="1369" operator="equal">
      <formula>$E$3</formula>
    </cfRule>
    <cfRule type="cellIs" dxfId="2464" priority="1370" operator="lessThan">
      <formula>$E$3</formula>
    </cfRule>
  </conditionalFormatting>
  <conditionalFormatting sqref="F14:G20 F23:G29 F38:H38 F41:H47 F32:G37">
    <cfRule type="expression" dxfId="2463" priority="1366">
      <formula>$C14&lt;$E$3</formula>
    </cfRule>
  </conditionalFormatting>
  <conditionalFormatting sqref="F5:H10 F14:G20 F23:G29 F38:H38 F41:H47 F11:G11 F32:G37">
    <cfRule type="expression" dxfId="2462" priority="1363">
      <formula>$C5=$E$3</formula>
    </cfRule>
    <cfRule type="expression" dxfId="2461" priority="1364">
      <formula>$C5&lt;$E$3</formula>
    </cfRule>
    <cfRule type="cellIs" dxfId="2460" priority="1365" operator="equal">
      <formula>0</formula>
    </cfRule>
    <cfRule type="expression" dxfId="2459" priority="1371">
      <formula>$C5&gt;$E$3</formula>
    </cfRule>
  </conditionalFormatting>
  <conditionalFormatting sqref="F12:G12">
    <cfRule type="expression" dxfId="2458" priority="1361">
      <formula>$F12&gt;=$F13</formula>
    </cfRule>
  </conditionalFormatting>
  <conditionalFormatting sqref="F21:G21">
    <cfRule type="expression" dxfId="2457" priority="1360">
      <formula>$F21&gt;=$F22</formula>
    </cfRule>
  </conditionalFormatting>
  <conditionalFormatting sqref="F39:H39">
    <cfRule type="expression" dxfId="2456" priority="1359">
      <formula>$F39&gt;=$F40</formula>
    </cfRule>
  </conditionalFormatting>
  <conditionalFormatting sqref="F30:G30">
    <cfRule type="expression" dxfId="2455" priority="1358">
      <formula>$F30&gt;=$F31</formula>
    </cfRule>
  </conditionalFormatting>
  <conditionalFormatting sqref="F48:H48">
    <cfRule type="expression" dxfId="2454" priority="1356" stopIfTrue="1">
      <formula>$H$48=-1E-55</formula>
    </cfRule>
    <cfRule type="expression" dxfId="2453" priority="1357">
      <formula>$F48&gt;=$F49</formula>
    </cfRule>
  </conditionalFormatting>
  <conditionalFormatting sqref="F14:G20 F23:G29 F38:H38 F41:H47 F32:G37">
    <cfRule type="expression" dxfId="2452" priority="1355">
      <formula>$C14&lt;$E$3</formula>
    </cfRule>
  </conditionalFormatting>
  <conditionalFormatting sqref="F14:G20 F5:H10 F23:G29 F38:H38 F41:H47 F11:G11 F32:G37">
    <cfRule type="expression" dxfId="2451" priority="1351">
      <formula>$C5=$E$3</formula>
    </cfRule>
    <cfRule type="expression" dxfId="2450" priority="1352">
      <formula>$C5&lt;$E$3</formula>
    </cfRule>
    <cfRule type="cellIs" dxfId="2449" priority="1353" operator="equal">
      <formula>0</formula>
    </cfRule>
    <cfRule type="expression" dxfId="2448" priority="1354">
      <formula>$C5&gt;$E$3</formula>
    </cfRule>
  </conditionalFormatting>
  <conditionalFormatting sqref="F12:G12">
    <cfRule type="expression" dxfId="2447" priority="1350">
      <formula>$F12&gt;=$F13</formula>
    </cfRule>
  </conditionalFormatting>
  <conditionalFormatting sqref="F21:G21">
    <cfRule type="expression" dxfId="2446" priority="1349">
      <formula>$F21&gt;=$F22</formula>
    </cfRule>
  </conditionalFormatting>
  <conditionalFormatting sqref="F39:H39">
    <cfRule type="expression" dxfId="2445" priority="1348">
      <formula>$F39&gt;=$F40</formula>
    </cfRule>
  </conditionalFormatting>
  <conditionalFormatting sqref="F30:G30">
    <cfRule type="expression" dxfId="2444" priority="1347">
      <formula>$F30&gt;=$F31</formula>
    </cfRule>
  </conditionalFormatting>
  <conditionalFormatting sqref="F48:H48">
    <cfRule type="expression" dxfId="2443" priority="1345" stopIfTrue="1">
      <formula>$E$41=""</formula>
    </cfRule>
    <cfRule type="expression" dxfId="2442" priority="1346">
      <formula>$F48&gt;=$F49</formula>
    </cfRule>
  </conditionalFormatting>
  <conditionalFormatting sqref="F41:H47">
    <cfRule type="expression" dxfId="2441" priority="1344">
      <formula>$E41=""</formula>
    </cfRule>
  </conditionalFormatting>
  <conditionalFormatting sqref="F47:H47">
    <cfRule type="expression" dxfId="2440" priority="1343">
      <formula>$E$46=""</formula>
    </cfRule>
  </conditionalFormatting>
  <conditionalFormatting sqref="F45:H45">
    <cfRule type="expression" dxfId="2439" priority="1342">
      <formula>$E45=""</formula>
    </cfRule>
  </conditionalFormatting>
  <conditionalFormatting sqref="F5:H10 F11:G11">
    <cfRule type="expression" dxfId="2438" priority="1341">
      <formula>$C5&lt;$E$3</formula>
    </cfRule>
  </conditionalFormatting>
  <conditionalFormatting sqref="F5:H10 F11:G11">
    <cfRule type="expression" dxfId="2437" priority="1340">
      <formula>$E5=""</formula>
    </cfRule>
  </conditionalFormatting>
  <conditionalFormatting sqref="F5:H10 F11:G11">
    <cfRule type="expression" dxfId="2436" priority="1336">
      <formula>$C5=$E$3</formula>
    </cfRule>
    <cfRule type="expression" dxfId="2435" priority="1337">
      <formula>$C5&lt;$E$3</formula>
    </cfRule>
    <cfRule type="cellIs" dxfId="2434" priority="1338" operator="equal">
      <formula>0</formula>
    </cfRule>
    <cfRule type="expression" dxfId="2433" priority="1339">
      <formula>$C5&gt;$E$3</formula>
    </cfRule>
  </conditionalFormatting>
  <conditionalFormatting sqref="F5:H10 F11:G11">
    <cfRule type="expression" dxfId="2432" priority="1335">
      <formula>$C5&lt;$E$3</formula>
    </cfRule>
  </conditionalFormatting>
  <conditionalFormatting sqref="F5:H10 F11:G11">
    <cfRule type="expression" dxfId="2431" priority="1334">
      <formula>$E5=""</formula>
    </cfRule>
  </conditionalFormatting>
  <conditionalFormatting sqref="F14:G20">
    <cfRule type="expression" dxfId="2430" priority="1333">
      <formula>$C14&lt;$E$3</formula>
    </cfRule>
  </conditionalFormatting>
  <conditionalFormatting sqref="F14:G20">
    <cfRule type="expression" dxfId="2429" priority="1329">
      <formula>$C14=$E$3</formula>
    </cfRule>
    <cfRule type="expression" dxfId="2428" priority="1330">
      <formula>$C14&lt;$E$3</formula>
    </cfRule>
    <cfRule type="cellIs" dxfId="2427" priority="1331" operator="equal">
      <formula>0</formula>
    </cfRule>
    <cfRule type="expression" dxfId="2426" priority="1332">
      <formula>$C14&gt;$E$3</formula>
    </cfRule>
  </conditionalFormatting>
  <conditionalFormatting sqref="F5:H10 F11:G11">
    <cfRule type="expression" dxfId="2425" priority="1328">
      <formula>$C5&lt;$E$3</formula>
    </cfRule>
  </conditionalFormatting>
  <conditionalFormatting sqref="F5:H10 F11:G11">
    <cfRule type="expression" dxfId="2424" priority="1324">
      <formula>$C5=$E$3</formula>
    </cfRule>
    <cfRule type="expression" dxfId="2423" priority="1325">
      <formula>$C5&lt;$E$3</formula>
    </cfRule>
    <cfRule type="cellIs" dxfId="2422" priority="1326" operator="equal">
      <formula>0</formula>
    </cfRule>
    <cfRule type="expression" dxfId="2421" priority="1327">
      <formula>$C5&gt;$E$3</formula>
    </cfRule>
  </conditionalFormatting>
  <conditionalFormatting sqref="F5:H10 F11:G11">
    <cfRule type="expression" dxfId="2420" priority="1323">
      <formula>$E5=""</formula>
    </cfRule>
  </conditionalFormatting>
  <conditionalFormatting sqref="F5:H10 F11:G11">
    <cfRule type="expression" dxfId="2419" priority="1322">
      <formula>$C5&lt;$E$3</formula>
    </cfRule>
  </conditionalFormatting>
  <conditionalFormatting sqref="F5:H10 F11:G11">
    <cfRule type="expression" dxfId="2418" priority="1321">
      <formula>$E5=""</formula>
    </cfRule>
  </conditionalFormatting>
  <conditionalFormatting sqref="F5:H10 F11:G11">
    <cfRule type="expression" dxfId="2417" priority="1320">
      <formula>$E5=""</formula>
    </cfRule>
  </conditionalFormatting>
  <conditionalFormatting sqref="F5:H10 F11:G11">
    <cfRule type="expression" dxfId="2416" priority="1319">
      <formula>$C5&lt;$E$3</formula>
    </cfRule>
  </conditionalFormatting>
  <conditionalFormatting sqref="F5:H10 F11:G11">
    <cfRule type="expression" dxfId="2415" priority="1318">
      <formula>$E5=""</formula>
    </cfRule>
  </conditionalFormatting>
  <conditionalFormatting sqref="F5:H10 F11:G11">
    <cfRule type="expression" dxfId="2414" priority="1317">
      <formula>$C5&lt;$E$3</formula>
    </cfRule>
  </conditionalFormatting>
  <conditionalFormatting sqref="F5:H10 F11:G11">
    <cfRule type="expression" dxfId="2413" priority="1316">
      <formula>$E5=""</formula>
    </cfRule>
  </conditionalFormatting>
  <conditionalFormatting sqref="F5:H10 F11:G11">
    <cfRule type="expression" dxfId="2412" priority="1315">
      <formula>$C5&lt;$E$3</formula>
    </cfRule>
  </conditionalFormatting>
  <conditionalFormatting sqref="F5:H10 F11:G11">
    <cfRule type="expression" dxfId="2411" priority="1314">
      <formula>$E5=""</formula>
    </cfRule>
  </conditionalFormatting>
  <conditionalFormatting sqref="F14:G20">
    <cfRule type="expression" dxfId="2410" priority="1313">
      <formula>$C14&lt;$E$3</formula>
    </cfRule>
  </conditionalFormatting>
  <conditionalFormatting sqref="F14:G20">
    <cfRule type="expression" dxfId="2409" priority="1309">
      <formula>$C14=$E$3</formula>
    </cfRule>
    <cfRule type="expression" dxfId="2408" priority="1310">
      <formula>$C14&lt;$E$3</formula>
    </cfRule>
    <cfRule type="cellIs" dxfId="2407" priority="1311" operator="equal">
      <formula>0</formula>
    </cfRule>
    <cfRule type="expression" dxfId="2406" priority="1312">
      <formula>$C14&gt;$E$3</formula>
    </cfRule>
  </conditionalFormatting>
  <conditionalFormatting sqref="F14:G20">
    <cfRule type="expression" dxfId="2405" priority="1308">
      <formula>$E14=""</formula>
    </cfRule>
  </conditionalFormatting>
  <conditionalFormatting sqref="F14:G20">
    <cfRule type="expression" dxfId="2404" priority="1307">
      <formula>$C14&lt;$E$3</formula>
    </cfRule>
  </conditionalFormatting>
  <conditionalFormatting sqref="F14:G20">
    <cfRule type="expression" dxfId="2403" priority="1306">
      <formula>$E14=""</formula>
    </cfRule>
  </conditionalFormatting>
  <conditionalFormatting sqref="F14:G20">
    <cfRule type="expression" dxfId="2402" priority="1305">
      <formula>$E14=""</formula>
    </cfRule>
  </conditionalFormatting>
  <conditionalFormatting sqref="F14:G20">
    <cfRule type="expression" dxfId="2401" priority="1304">
      <formula>$C14&lt;$E$3</formula>
    </cfRule>
  </conditionalFormatting>
  <conditionalFormatting sqref="F14:G20">
    <cfRule type="expression" dxfId="2400" priority="1303">
      <formula>$E14=""</formula>
    </cfRule>
  </conditionalFormatting>
  <conditionalFormatting sqref="F14:G20">
    <cfRule type="expression" dxfId="2399" priority="1302">
      <formula>$C14&lt;$E$3</formula>
    </cfRule>
  </conditionalFormatting>
  <conditionalFormatting sqref="F14:G20">
    <cfRule type="expression" dxfId="2398" priority="1301">
      <formula>$E14=""</formula>
    </cfRule>
  </conditionalFormatting>
  <conditionalFormatting sqref="F14:G20">
    <cfRule type="expression" dxfId="2397" priority="1300">
      <formula>$C14&lt;$E$3</formula>
    </cfRule>
  </conditionalFormatting>
  <conditionalFormatting sqref="F14:G20">
    <cfRule type="expression" dxfId="2396" priority="1299">
      <formula>$E14=""</formula>
    </cfRule>
  </conditionalFormatting>
  <conditionalFormatting sqref="F23:G29">
    <cfRule type="expression" dxfId="2395" priority="1298">
      <formula>$C23&lt;$E$3</formula>
    </cfRule>
  </conditionalFormatting>
  <conditionalFormatting sqref="F23:G29">
    <cfRule type="expression" dxfId="2394" priority="1294">
      <formula>$C23=$E$3</formula>
    </cfRule>
    <cfRule type="expression" dxfId="2393" priority="1295">
      <formula>$C23&lt;$E$3</formula>
    </cfRule>
    <cfRule type="cellIs" dxfId="2392" priority="1296" operator="equal">
      <formula>0</formula>
    </cfRule>
    <cfRule type="expression" dxfId="2391" priority="1297">
      <formula>$C23&gt;$E$3</formula>
    </cfRule>
  </conditionalFormatting>
  <conditionalFormatting sqref="F23:G29">
    <cfRule type="expression" dxfId="2390" priority="1293">
      <formula>$C23&lt;$E$3</formula>
    </cfRule>
  </conditionalFormatting>
  <conditionalFormatting sqref="F23:G29">
    <cfRule type="expression" dxfId="2389" priority="1289">
      <formula>$C23=$E$3</formula>
    </cfRule>
    <cfRule type="expression" dxfId="2388" priority="1290">
      <formula>$C23&lt;$E$3</formula>
    </cfRule>
    <cfRule type="cellIs" dxfId="2387" priority="1291" operator="equal">
      <formula>0</formula>
    </cfRule>
    <cfRule type="expression" dxfId="2386" priority="1292">
      <formula>$C23&gt;$E$3</formula>
    </cfRule>
  </conditionalFormatting>
  <conditionalFormatting sqref="F23:G29">
    <cfRule type="expression" dxfId="2385" priority="1288">
      <formula>$E23=""</formula>
    </cfRule>
  </conditionalFormatting>
  <conditionalFormatting sqref="F23:G29">
    <cfRule type="expression" dxfId="2384" priority="1287">
      <formula>$C23&lt;$E$3</formula>
    </cfRule>
  </conditionalFormatting>
  <conditionalFormatting sqref="F23:G29">
    <cfRule type="expression" dxfId="2383" priority="1286">
      <formula>$E23=""</formula>
    </cfRule>
  </conditionalFormatting>
  <conditionalFormatting sqref="F23:G29">
    <cfRule type="expression" dxfId="2382" priority="1285">
      <formula>$E23=""</formula>
    </cfRule>
  </conditionalFormatting>
  <conditionalFormatting sqref="F23:G29">
    <cfRule type="expression" dxfId="2381" priority="1284">
      <formula>$C23&lt;$E$3</formula>
    </cfRule>
  </conditionalFormatting>
  <conditionalFormatting sqref="F23:G29">
    <cfRule type="expression" dxfId="2380" priority="1283">
      <formula>$E23=""</formula>
    </cfRule>
  </conditionalFormatting>
  <conditionalFormatting sqref="F23:G29">
    <cfRule type="expression" dxfId="2379" priority="1282">
      <formula>$C23&lt;$E$3</formula>
    </cfRule>
  </conditionalFormatting>
  <conditionalFormatting sqref="F23:G29">
    <cfRule type="expression" dxfId="2378" priority="1281">
      <formula>$E23=""</formula>
    </cfRule>
  </conditionalFormatting>
  <conditionalFormatting sqref="F23:G29">
    <cfRule type="expression" dxfId="2377" priority="1280">
      <formula>$C23&lt;$E$3</formula>
    </cfRule>
  </conditionalFormatting>
  <conditionalFormatting sqref="F23:G29">
    <cfRule type="expression" dxfId="2376" priority="1279">
      <formula>$E23=""</formula>
    </cfRule>
  </conditionalFormatting>
  <conditionalFormatting sqref="F38:H38 F32:G37">
    <cfRule type="expression" dxfId="2375" priority="1278">
      <formula>$C32&lt;$E$3</formula>
    </cfRule>
  </conditionalFormatting>
  <conditionalFormatting sqref="F38:H38 F32:G37">
    <cfRule type="expression" dxfId="2374" priority="1274">
      <formula>$C32=$E$3</formula>
    </cfRule>
    <cfRule type="expression" dxfId="2373" priority="1275">
      <formula>$C32&lt;$E$3</formula>
    </cfRule>
    <cfRule type="cellIs" dxfId="2372" priority="1276" operator="equal">
      <formula>0</formula>
    </cfRule>
    <cfRule type="expression" dxfId="2371" priority="1277">
      <formula>$C32&gt;$E$3</formula>
    </cfRule>
  </conditionalFormatting>
  <conditionalFormatting sqref="F38:H38 F32:G37">
    <cfRule type="expression" dxfId="2370" priority="1273">
      <formula>$C32&lt;$E$3</formula>
    </cfRule>
  </conditionalFormatting>
  <conditionalFormatting sqref="F38:H38 F32:G37">
    <cfRule type="expression" dxfId="2369" priority="1269">
      <formula>$C32=$E$3</formula>
    </cfRule>
    <cfRule type="expression" dxfId="2368" priority="1270">
      <formula>$C32&lt;$E$3</formula>
    </cfRule>
    <cfRule type="cellIs" dxfId="2367" priority="1271" operator="equal">
      <formula>0</formula>
    </cfRule>
    <cfRule type="expression" dxfId="2366" priority="1272">
      <formula>$C32&gt;$E$3</formula>
    </cfRule>
  </conditionalFormatting>
  <conditionalFormatting sqref="F38:H38 F32:G37">
    <cfRule type="expression" dxfId="2365" priority="1268">
      <formula>$E32=""</formula>
    </cfRule>
  </conditionalFormatting>
  <conditionalFormatting sqref="F38:H38 F32:G37">
    <cfRule type="expression" dxfId="2364" priority="1267">
      <formula>$C32&lt;$E$3</formula>
    </cfRule>
  </conditionalFormatting>
  <conditionalFormatting sqref="F38:H38 F32:G37">
    <cfRule type="expression" dxfId="2363" priority="1266">
      <formula>$E32=""</formula>
    </cfRule>
  </conditionalFormatting>
  <conditionalFormatting sqref="F38:H38 F32:G37">
    <cfRule type="expression" dxfId="2362" priority="1265">
      <formula>$E32=""</formula>
    </cfRule>
  </conditionalFormatting>
  <conditionalFormatting sqref="F38:H38 F32:G37">
    <cfRule type="expression" dxfId="2361" priority="1264">
      <formula>$C32&lt;$E$3</formula>
    </cfRule>
  </conditionalFormatting>
  <conditionalFormatting sqref="F38:H38 F32:G37">
    <cfRule type="expression" dxfId="2360" priority="1263">
      <formula>$E32=""</formula>
    </cfRule>
  </conditionalFormatting>
  <conditionalFormatting sqref="F38:H38 F32:G37">
    <cfRule type="expression" dxfId="2359" priority="1262">
      <formula>$C32&lt;$E$3</formula>
    </cfRule>
  </conditionalFormatting>
  <conditionalFormatting sqref="F38:H38 F32:G37">
    <cfRule type="expression" dxfId="2358" priority="1261">
      <formula>$E32=""</formula>
    </cfRule>
  </conditionalFormatting>
  <conditionalFormatting sqref="F38:H38 F32:G37">
    <cfRule type="expression" dxfId="2357" priority="1260">
      <formula>$C32&lt;$E$3</formula>
    </cfRule>
  </conditionalFormatting>
  <conditionalFormatting sqref="F38:H38 F32:G37">
    <cfRule type="expression" dxfId="2356" priority="1259">
      <formula>$E32=""</formula>
    </cfRule>
  </conditionalFormatting>
  <conditionalFormatting sqref="F41:H47">
    <cfRule type="expression" dxfId="2355" priority="1258">
      <formula>$C41&lt;$E$3</formula>
    </cfRule>
  </conditionalFormatting>
  <conditionalFormatting sqref="F41:H47">
    <cfRule type="expression" dxfId="2354" priority="1254">
      <formula>$C41=$E$3</formula>
    </cfRule>
    <cfRule type="expression" dxfId="2353" priority="1255">
      <formula>$C41&lt;$E$3</formula>
    </cfRule>
    <cfRule type="cellIs" dxfId="2352" priority="1256" operator="equal">
      <formula>0</formula>
    </cfRule>
    <cfRule type="expression" dxfId="2351" priority="1257">
      <formula>$C41&gt;$E$3</formula>
    </cfRule>
  </conditionalFormatting>
  <conditionalFormatting sqref="F41:H47">
    <cfRule type="expression" dxfId="2350" priority="1253">
      <formula>$C41&lt;$E$3</formula>
    </cfRule>
  </conditionalFormatting>
  <conditionalFormatting sqref="F41:H47">
    <cfRule type="expression" dxfId="2349" priority="1249">
      <formula>$C41=$E$3</formula>
    </cfRule>
    <cfRule type="expression" dxfId="2348" priority="1250">
      <formula>$C41&lt;$E$3</formula>
    </cfRule>
    <cfRule type="cellIs" dxfId="2347" priority="1251" operator="equal">
      <formula>0</formula>
    </cfRule>
    <cfRule type="expression" dxfId="2346" priority="1252">
      <formula>$C41&gt;$E$3</formula>
    </cfRule>
  </conditionalFormatting>
  <conditionalFormatting sqref="F41:H47">
    <cfRule type="expression" dxfId="2345" priority="1248">
      <formula>$E41=""</formula>
    </cfRule>
  </conditionalFormatting>
  <conditionalFormatting sqref="F41:H47">
    <cfRule type="expression" dxfId="2344" priority="1247">
      <formula>$C41&lt;$E$3</formula>
    </cfRule>
  </conditionalFormatting>
  <conditionalFormatting sqref="F41:H47">
    <cfRule type="expression" dxfId="2343" priority="1246">
      <formula>$E41=""</formula>
    </cfRule>
  </conditionalFormatting>
  <conditionalFormatting sqref="F41:H47">
    <cfRule type="expression" dxfId="2342" priority="1245">
      <formula>$E41=""</formula>
    </cfRule>
  </conditionalFormatting>
  <conditionalFormatting sqref="F41:H47">
    <cfRule type="expression" dxfId="2341" priority="1244">
      <formula>$C41&lt;$E$3</formula>
    </cfRule>
  </conditionalFormatting>
  <conditionalFormatting sqref="F41:H47">
    <cfRule type="expression" dxfId="2340" priority="1243">
      <formula>$E41=""</formula>
    </cfRule>
  </conditionalFormatting>
  <conditionalFormatting sqref="F41:H47">
    <cfRule type="expression" dxfId="2339" priority="1242">
      <formula>$C41&lt;$E$3</formula>
    </cfRule>
  </conditionalFormatting>
  <conditionalFormatting sqref="F41:H47">
    <cfRule type="expression" dxfId="2338" priority="1241">
      <formula>$E41=""</formula>
    </cfRule>
  </conditionalFormatting>
  <conditionalFormatting sqref="F41:H47">
    <cfRule type="expression" dxfId="2337" priority="1240">
      <formula>$C41&lt;$E$3</formula>
    </cfRule>
  </conditionalFormatting>
  <conditionalFormatting sqref="F41:H47">
    <cfRule type="expression" dxfId="2336" priority="1239">
      <formula>$E41=""</formula>
    </cfRule>
  </conditionalFormatting>
  <conditionalFormatting sqref="F50:H51">
    <cfRule type="cellIs" dxfId="2335" priority="1238" stopIfTrue="1" operator="lessThan">
      <formula>0</formula>
    </cfRule>
  </conditionalFormatting>
  <conditionalFormatting sqref="F50:H51">
    <cfRule type="expression" dxfId="2334" priority="1237">
      <formula>$C50&lt;$E$3</formula>
    </cfRule>
  </conditionalFormatting>
  <conditionalFormatting sqref="F50:H51">
    <cfRule type="expression" dxfId="2333" priority="1233">
      <formula>$C50=$E$3</formula>
    </cfRule>
    <cfRule type="expression" dxfId="2332" priority="1234">
      <formula>$C50&lt;$E$3</formula>
    </cfRule>
    <cfRule type="cellIs" dxfId="2331" priority="1235" operator="equal">
      <formula>0</formula>
    </cfRule>
    <cfRule type="expression" dxfId="2330" priority="1236">
      <formula>$C50&gt;$E$3</formula>
    </cfRule>
  </conditionalFormatting>
  <conditionalFormatting sqref="F50:H51">
    <cfRule type="expression" dxfId="2329" priority="1232">
      <formula>$C50&lt;$E$3</formula>
    </cfRule>
  </conditionalFormatting>
  <conditionalFormatting sqref="F50:H51">
    <cfRule type="expression" dxfId="2328" priority="1228">
      <formula>$C50=$E$3</formula>
    </cfRule>
    <cfRule type="expression" dxfId="2327" priority="1229">
      <formula>$C50&lt;$E$3</formula>
    </cfRule>
    <cfRule type="cellIs" dxfId="2326" priority="1230" operator="equal">
      <formula>0</formula>
    </cfRule>
    <cfRule type="expression" dxfId="2325" priority="1231">
      <formula>$C50&gt;$E$3</formula>
    </cfRule>
  </conditionalFormatting>
  <conditionalFormatting sqref="F50:H51">
    <cfRule type="expression" dxfId="2324" priority="1227">
      <formula>$C50&lt;$E$3</formula>
    </cfRule>
  </conditionalFormatting>
  <conditionalFormatting sqref="F50:H51">
    <cfRule type="expression" dxfId="2323" priority="1223">
      <formula>$C50=$E$3</formula>
    </cfRule>
    <cfRule type="expression" dxfId="2322" priority="1224">
      <formula>$C50&lt;$E$3</formula>
    </cfRule>
    <cfRule type="cellIs" dxfId="2321" priority="1225" operator="equal">
      <formula>0</formula>
    </cfRule>
    <cfRule type="expression" dxfId="2320" priority="1226">
      <formula>$C50&gt;$E$3</formula>
    </cfRule>
  </conditionalFormatting>
  <conditionalFormatting sqref="F50:H51">
    <cfRule type="expression" dxfId="2319" priority="1222">
      <formula>$C50&lt;$E$3</formula>
    </cfRule>
  </conditionalFormatting>
  <conditionalFormatting sqref="F50:H51">
    <cfRule type="expression" dxfId="2318" priority="1218">
      <formula>$C50=$E$3</formula>
    </cfRule>
    <cfRule type="expression" dxfId="2317" priority="1219">
      <formula>$C50&lt;$E$3</formula>
    </cfRule>
    <cfRule type="cellIs" dxfId="2316" priority="1220" operator="equal">
      <formula>0</formula>
    </cfRule>
    <cfRule type="expression" dxfId="2315" priority="1221">
      <formula>$C50&gt;$E$3</formula>
    </cfRule>
  </conditionalFormatting>
  <conditionalFormatting sqref="F50:H51">
    <cfRule type="expression" dxfId="2314" priority="1217">
      <formula>$E50=""</formula>
    </cfRule>
  </conditionalFormatting>
  <conditionalFormatting sqref="F50:H51">
    <cfRule type="expression" dxfId="2313" priority="1216">
      <formula>$C50&lt;$E$3</formula>
    </cfRule>
  </conditionalFormatting>
  <conditionalFormatting sqref="F50:H51">
    <cfRule type="expression" dxfId="2312" priority="1215">
      <formula>$E50=""</formula>
    </cfRule>
  </conditionalFormatting>
  <conditionalFormatting sqref="F50:H51">
    <cfRule type="expression" dxfId="2311" priority="1214">
      <formula>$E50=""</formula>
    </cfRule>
  </conditionalFormatting>
  <conditionalFormatting sqref="F50:H51">
    <cfRule type="expression" dxfId="2310" priority="1213">
      <formula>$C50&lt;$E$3</formula>
    </cfRule>
  </conditionalFormatting>
  <conditionalFormatting sqref="F50:H51">
    <cfRule type="expression" dxfId="2309" priority="1212">
      <formula>$E50=""</formula>
    </cfRule>
  </conditionalFormatting>
  <conditionalFormatting sqref="F50:H51">
    <cfRule type="expression" dxfId="2308" priority="1211">
      <formula>$C50&lt;$E$3</formula>
    </cfRule>
  </conditionalFormatting>
  <conditionalFormatting sqref="F50:H51">
    <cfRule type="expression" dxfId="2307" priority="1210">
      <formula>$E50=""</formula>
    </cfRule>
  </conditionalFormatting>
  <conditionalFormatting sqref="F50:H51">
    <cfRule type="expression" dxfId="2306" priority="1209">
      <formula>$C50&lt;$E$3</formula>
    </cfRule>
  </conditionalFormatting>
  <conditionalFormatting sqref="F50:H51">
    <cfRule type="expression" dxfId="2305" priority="1208">
      <formula>$E50=""</formula>
    </cfRule>
  </conditionalFormatting>
  <conditionalFormatting sqref="E14:E20 E5:E11 E41:E47 E32:E38 E23:E29 E50:E51">
    <cfRule type="containsText" dxfId="2304" priority="1201" operator="containsText" text="Sa">
      <formula>NOT(ISERROR(SEARCH("Sa",E5)))</formula>
    </cfRule>
    <cfRule type="containsText" dxfId="2303" priority="1203" operator="containsText" text="Fr">
      <formula>NOT(ISERROR(SEARCH("Fr",E5)))</formula>
    </cfRule>
    <cfRule type="containsText" dxfId="2302" priority="1204" operator="containsText" text="Th">
      <formula>NOT(ISERROR(SEARCH("Th",E5)))</formula>
    </cfRule>
  </conditionalFormatting>
  <conditionalFormatting sqref="E14:E20 E5:E11 E41:E47 E32:E38 E23:E29 E50:E51">
    <cfRule type="containsText" dxfId="2301" priority="1205" operator="containsText" text="Wed">
      <formula>NOT(ISERROR(SEARCH("Wed",E5)))</formula>
    </cfRule>
    <cfRule type="containsText" dxfId="2300" priority="1206" operator="containsText" text="Tu">
      <formula>NOT(ISERROR(SEARCH("Tu",E5)))</formula>
    </cfRule>
    <cfRule type="beginsWith" dxfId="2299" priority="1207" operator="beginsWith" text="M">
      <formula>LEFT(E5,1)="M"</formula>
    </cfRule>
  </conditionalFormatting>
  <conditionalFormatting sqref="E14:E20 E5:E11 E41:E47 E32:E38 E23:E29 E50:E51">
    <cfRule type="containsText" dxfId="2298" priority="1202" operator="containsText" text="Su">
      <formula>NOT(ISERROR(SEARCH("Su",E5)))</formula>
    </cfRule>
  </conditionalFormatting>
  <conditionalFormatting sqref="C4">
    <cfRule type="cellIs" dxfId="2297" priority="1197" stopIfTrue="1" operator="notBetween">
      <formula>$B$2</formula>
      <formula>$B$3</formula>
    </cfRule>
  </conditionalFormatting>
  <conditionalFormatting sqref="C4">
    <cfRule type="cellIs" dxfId="2296" priority="1198" operator="greaterThan">
      <formula>$E$3</formula>
    </cfRule>
    <cfRule type="cellIs" dxfId="2295" priority="1199" operator="equal">
      <formula>$E$3</formula>
    </cfRule>
    <cfRule type="cellIs" dxfId="2294" priority="1200" operator="lessThan">
      <formula>$E$3</formula>
    </cfRule>
  </conditionalFormatting>
  <conditionalFormatting sqref="J23:J29 J14:J20 J5:J11 J50:J51 L5:N11 L14:M20 L23:M29 J41:J47 L50:N51 J32:J38 L32:M38 N15:N16 N18 L41:N47">
    <cfRule type="cellIs" dxfId="2293" priority="1196" stopIfTrue="1" operator="lessThan">
      <formula>0</formula>
    </cfRule>
  </conditionalFormatting>
  <conditionalFormatting sqref="J5:J11 J50:J51 L5:M11 L50:M51 J14:J20 J23:J29 J41:J47 J32:J38 L14:M20 L23:M29 L32:M38 L41:M47">
    <cfRule type="expression" dxfId="2292" priority="1194">
      <formula>$C5&lt;$E$3</formula>
    </cfRule>
  </conditionalFormatting>
  <conditionalFormatting sqref="J5:J11 J50:J51 L5:M11 L50:M51 J14:J20 J23:J29 J41:J47 J32:J38 L14:M20 L23:M29 L32:M38 L41:M47">
    <cfRule type="expression" dxfId="2291" priority="1191">
      <formula>$C5=$E$3</formula>
    </cfRule>
    <cfRule type="expression" dxfId="2290" priority="1192">
      <formula>$C5&lt;$E$3</formula>
    </cfRule>
    <cfRule type="cellIs" dxfId="2289" priority="1193" operator="equal">
      <formula>0</formula>
    </cfRule>
    <cfRule type="expression" dxfId="2288" priority="1195">
      <formula>$C5&gt;$E$3</formula>
    </cfRule>
  </conditionalFormatting>
  <conditionalFormatting sqref="J5:J11 J50:J51 L5:M11 L50:M51 J14:J20 J23:J29 J41:J47 J32:J38 L14:M20 L23:M29 L32:M38 L41:M47">
    <cfRule type="expression" dxfId="2287" priority="1190">
      <formula>$E5=""</formula>
    </cfRule>
  </conditionalFormatting>
  <conditionalFormatting sqref="J5:J11 J50:J51 L5:M11 L50:M51 J23:J29 J41:J47 J32:J38 J14:J20 L14:M20 L23:M29 L32:M38 L41:M47">
    <cfRule type="expression" dxfId="2286" priority="1189">
      <formula>$E5=""</formula>
    </cfRule>
  </conditionalFormatting>
  <conditionalFormatting sqref="J5:J11 J50:J51 L5:M11 L50:M51 J23:J29 J41:J47 J32:J38 J14:J20 L14:M20 L23:M29 L32:M38 L41:M47">
    <cfRule type="expression" dxfId="2285" priority="1188">
      <formula>$E5=""</formula>
    </cfRule>
  </conditionalFormatting>
  <conditionalFormatting sqref="M5:M11 M14:M20 M23:M29 M32:M38 M41:M47 M50:M51">
    <cfRule type="expression" dxfId="2284" priority="1187">
      <formula>$C5&lt;$E$3</formula>
    </cfRule>
  </conditionalFormatting>
  <conditionalFormatting sqref="M5:M11 M14:M20 M23:M29 M32:M38 M41:M47 M50:M51">
    <cfRule type="expression" dxfId="2283" priority="1183">
      <formula>$C5=$E$3</formula>
    </cfRule>
    <cfRule type="expression" dxfId="2282" priority="1184">
      <formula>$C5&lt;$E$3</formula>
    </cfRule>
    <cfRule type="cellIs" dxfId="2281" priority="1185" operator="equal">
      <formula>0</formula>
    </cfRule>
    <cfRule type="expression" dxfId="2280" priority="1186">
      <formula>$C5&gt;$E$3</formula>
    </cfRule>
  </conditionalFormatting>
  <conditionalFormatting sqref="M5:M11 M14:M20 M23:M29 M32:M38 M41:M47 M50:M51">
    <cfRule type="expression" dxfId="2279" priority="1182">
      <formula>$C5&lt;$E$3</formula>
    </cfRule>
  </conditionalFormatting>
  <conditionalFormatting sqref="M5:M11 M14:M20 M23:M29 M32:M38 M41:M47 M50:M51">
    <cfRule type="expression" dxfId="2278" priority="1178">
      <formula>$C5=$E$3</formula>
    </cfRule>
    <cfRule type="expression" dxfId="2277" priority="1179">
      <formula>$C5&lt;$E$3</formula>
    </cfRule>
    <cfRule type="cellIs" dxfId="2276" priority="1180" operator="equal">
      <formula>0</formula>
    </cfRule>
    <cfRule type="expression" dxfId="2275" priority="1181">
      <formula>$C5&gt;$E$3</formula>
    </cfRule>
  </conditionalFormatting>
  <conditionalFormatting sqref="M5:M11 M14:M20 M23:M29 M32:M38 M41:M47 M50:M51">
    <cfRule type="expression" dxfId="2274" priority="1177">
      <formula>$C5&lt;$E$3</formula>
    </cfRule>
  </conditionalFormatting>
  <conditionalFormatting sqref="M5:M11 M14:M20 M23:M29 M32:M38 M41:M47 M50:M51">
    <cfRule type="expression" dxfId="2273" priority="1173">
      <formula>$C5=$E$3</formula>
    </cfRule>
    <cfRule type="expression" dxfId="2272" priority="1174">
      <formula>$C5&lt;$E$3</formula>
    </cfRule>
    <cfRule type="cellIs" dxfId="2271" priority="1175" operator="equal">
      <formula>0</formula>
    </cfRule>
    <cfRule type="expression" dxfId="2270" priority="1176">
      <formula>$C5&gt;$E$3</formula>
    </cfRule>
  </conditionalFormatting>
  <conditionalFormatting sqref="M5:M11 M14:M20 M23:M29 M32:M38 M41:M47 M50:M51">
    <cfRule type="expression" dxfId="2269" priority="1172">
      <formula>$C5&lt;$E$3</formula>
    </cfRule>
  </conditionalFormatting>
  <conditionalFormatting sqref="M5:M11 M14:M20 M23:M29 M32:M38 M41:M47 M50:M51">
    <cfRule type="expression" dxfId="2268" priority="1168">
      <formula>$C5=$E$3</formula>
    </cfRule>
    <cfRule type="expression" dxfId="2267" priority="1169">
      <formula>$C5&lt;$E$3</formula>
    </cfRule>
    <cfRule type="cellIs" dxfId="2266" priority="1170" operator="equal">
      <formula>0</formula>
    </cfRule>
    <cfRule type="expression" dxfId="2265" priority="1171">
      <formula>$C5&gt;$E$3</formula>
    </cfRule>
  </conditionalFormatting>
  <conditionalFormatting sqref="M5:M11 M14:M20 M23:M29 M32:M38 M41:M47 M50:M51">
    <cfRule type="expression" dxfId="2264" priority="1167">
      <formula>$E5=""</formula>
    </cfRule>
  </conditionalFormatting>
  <conditionalFormatting sqref="M5:M11 M14:M20 M23:M29 M32:M38 M41:M47 M50:M51">
    <cfRule type="expression" dxfId="2263" priority="1166">
      <formula>$C5&lt;$E$3</formula>
    </cfRule>
  </conditionalFormatting>
  <conditionalFormatting sqref="M5:M11 M14:M20 M23:M29 M32:M38 M41:M47 M50:M51">
    <cfRule type="expression" dxfId="2262" priority="1165">
      <formula>$E5=""</formula>
    </cfRule>
  </conditionalFormatting>
  <conditionalFormatting sqref="M5:M11 M23:M29 M32:M38 M41:M47 M50:M51 M14:M20">
    <cfRule type="expression" dxfId="2261" priority="1164">
      <formula>$E5=""</formula>
    </cfRule>
  </conditionalFormatting>
  <conditionalFormatting sqref="M5:M11 M14:M20 M23:M29 M32:M38 M41:M47 M50:M51">
    <cfRule type="expression" dxfId="2260" priority="1163">
      <formula>$C5&lt;$E$3</formula>
    </cfRule>
  </conditionalFormatting>
  <conditionalFormatting sqref="M5:M11 M14:M20 M23:M29 M32:M38 M41:M47 M50:M51">
    <cfRule type="expression" dxfId="2259" priority="1162">
      <formula>$E5=""</formula>
    </cfRule>
  </conditionalFormatting>
  <conditionalFormatting sqref="M5:M11 M14:M20 M23:M29 M32:M38 M41:M47 M50:M51">
    <cfRule type="expression" dxfId="2258" priority="1161">
      <formula>$C5&lt;$E$3</formula>
    </cfRule>
  </conditionalFormatting>
  <conditionalFormatting sqref="M5:M11 M14:M20 M23:M29 M32:M38 M41:M47 M50:M51">
    <cfRule type="expression" dxfId="2257" priority="1160">
      <formula>$E5=""</formula>
    </cfRule>
  </conditionalFormatting>
  <conditionalFormatting sqref="M5:M11 M14:M20 M23:M29 M32:M38 M41:M47 M50:M51">
    <cfRule type="expression" dxfId="2256" priority="1159">
      <formula>$C5&lt;$E$3</formula>
    </cfRule>
  </conditionalFormatting>
  <conditionalFormatting sqref="M5:M11 M14:M20 M23:M29 M32:M38 M41:M47 M50:M51">
    <cfRule type="expression" dxfId="2255" priority="1158">
      <formula>$E5=""</formula>
    </cfRule>
  </conditionalFormatting>
  <conditionalFormatting sqref="M5:M11 M14:M20 M23:M29 M32:M38 M41:M47 M50:M51">
    <cfRule type="expression" dxfId="2254" priority="1157">
      <formula>$C5&lt;$E$3</formula>
    </cfRule>
  </conditionalFormatting>
  <conditionalFormatting sqref="M5:M11 M14:M20 M23:M29 M32:M38 M41:M47 M50:M51">
    <cfRule type="expression" dxfId="2253" priority="1153">
      <formula>$C5=$E$3</formula>
    </cfRule>
    <cfRule type="expression" dxfId="2252" priority="1154">
      <formula>$C5&lt;$E$3</formula>
    </cfRule>
    <cfRule type="cellIs" dxfId="2251" priority="1155" operator="equal">
      <formula>0</formula>
    </cfRule>
    <cfRule type="expression" dxfId="2250" priority="1156">
      <formula>$C5&gt;$E$3</formula>
    </cfRule>
  </conditionalFormatting>
  <conditionalFormatting sqref="M5:M11 M14:M20 M23:M29 M32:M38 M41:M47 M50:M51">
    <cfRule type="expression" dxfId="2249" priority="1152">
      <formula>$C5&lt;$E$3</formula>
    </cfRule>
  </conditionalFormatting>
  <conditionalFormatting sqref="M5:M11 M14:M20 M23:M29 M32:M38 M41:M47 M50:M51">
    <cfRule type="expression" dxfId="2248" priority="1148">
      <formula>$C5=$E$3</formula>
    </cfRule>
    <cfRule type="expression" dxfId="2247" priority="1149">
      <formula>$C5&lt;$E$3</formula>
    </cfRule>
    <cfRule type="cellIs" dxfId="2246" priority="1150" operator="equal">
      <formula>0</formula>
    </cfRule>
    <cfRule type="expression" dxfId="2245" priority="1151">
      <formula>$C5&gt;$E$3</formula>
    </cfRule>
  </conditionalFormatting>
  <conditionalFormatting sqref="M5:M11 M14:M20 M23:M29 M32:M38 M41:M47 M50:M51">
    <cfRule type="expression" dxfId="2244" priority="1147">
      <formula>$C5&lt;$E$3</formula>
    </cfRule>
  </conditionalFormatting>
  <conditionalFormatting sqref="M5:M11 M14:M20 M23:M29 M32:M38 M41:M47 M50:M51">
    <cfRule type="expression" dxfId="2243" priority="1143">
      <formula>$C5=$E$3</formula>
    </cfRule>
    <cfRule type="expression" dxfId="2242" priority="1144">
      <formula>$C5&lt;$E$3</formula>
    </cfRule>
    <cfRule type="cellIs" dxfId="2241" priority="1145" operator="equal">
      <formula>0</formula>
    </cfRule>
    <cfRule type="expression" dxfId="2240" priority="1146">
      <formula>$C5&gt;$E$3</formula>
    </cfRule>
  </conditionalFormatting>
  <conditionalFormatting sqref="M5:M11 M14:M20 M23:M29 M32:M38 M41:M47 M50:M51">
    <cfRule type="expression" dxfId="2239" priority="1142">
      <formula>$C5&lt;$E$3</formula>
    </cfRule>
  </conditionalFormatting>
  <conditionalFormatting sqref="M5:M11 M14:M20 M23:M29 M32:M38 M41:M47 M50:M51">
    <cfRule type="expression" dxfId="2238" priority="1138">
      <formula>$C5=$E$3</formula>
    </cfRule>
    <cfRule type="expression" dxfId="2237" priority="1139">
      <formula>$C5&lt;$E$3</formula>
    </cfRule>
    <cfRule type="cellIs" dxfId="2236" priority="1140" operator="equal">
      <formula>0</formula>
    </cfRule>
    <cfRule type="expression" dxfId="2235" priority="1141">
      <formula>$C5&gt;$E$3</formula>
    </cfRule>
  </conditionalFormatting>
  <conditionalFormatting sqref="M5:M11 M14:M20 M23:M29 M32:M38 M41:M47 M50:M51">
    <cfRule type="expression" dxfId="2234" priority="1137">
      <formula>$E5=""</formula>
    </cfRule>
  </conditionalFormatting>
  <conditionalFormatting sqref="M5:M11 M14:M20 M23:M29 M32:M38 M41:M47 M50:M51">
    <cfRule type="expression" dxfId="2233" priority="1136">
      <formula>$C5&lt;$E$3</formula>
    </cfRule>
  </conditionalFormatting>
  <conditionalFormatting sqref="M5:M11 M14:M20 M23:M29 M32:M38 M41:M47 M50:M51">
    <cfRule type="expression" dxfId="2232" priority="1135">
      <formula>$E5=""</formula>
    </cfRule>
  </conditionalFormatting>
  <conditionalFormatting sqref="M5:M11 M23:M29 M32:M38 M41:M47 M50:M51 M14:M20">
    <cfRule type="expression" dxfId="2231" priority="1134">
      <formula>$E5=""</formula>
    </cfRule>
  </conditionalFormatting>
  <conditionalFormatting sqref="M5:M11 M14:M20 M23:M29 M32:M38 M41:M47 M50:M51">
    <cfRule type="expression" dxfId="2230" priority="1133">
      <formula>$C5&lt;$E$3</formula>
    </cfRule>
  </conditionalFormatting>
  <conditionalFormatting sqref="M5:M11 M14:M20 M23:M29 M32:M38 M41:M47 M50:M51">
    <cfRule type="expression" dxfId="2229" priority="1132">
      <formula>$E5=""</formula>
    </cfRule>
  </conditionalFormatting>
  <conditionalFormatting sqref="M5:M11 M14:M20 M23:M29 M32:M38 M41:M47 M50:M51">
    <cfRule type="expression" dxfId="2228" priority="1131">
      <formula>$C5&lt;$E$3</formula>
    </cfRule>
  </conditionalFormatting>
  <conditionalFormatting sqref="M5:M11 M14:M20 M23:M29 M32:M38 M41:M47 M50:M51">
    <cfRule type="expression" dxfId="2227" priority="1130">
      <formula>$E5=""</formula>
    </cfRule>
  </conditionalFormatting>
  <conditionalFormatting sqref="M5:M11 M14:M20 M23:M29 M32:M38 M41:M47 M50:M51">
    <cfRule type="expression" dxfId="2226" priority="1129">
      <formula>$C5&lt;$E$3</formula>
    </cfRule>
  </conditionalFormatting>
  <conditionalFormatting sqref="M5:M11 M14:M20 M23:M29 M32:M38 M41:M47 M50:M51">
    <cfRule type="expression" dxfId="2225" priority="1128">
      <formula>$E5=""</formula>
    </cfRule>
  </conditionalFormatting>
  <conditionalFormatting sqref="K37">
    <cfRule type="expression" dxfId="2224" priority="335">
      <formula>$C37&lt;$E$3</formula>
    </cfRule>
  </conditionalFormatting>
  <conditionalFormatting sqref="K37">
    <cfRule type="expression" dxfId="2223" priority="331">
      <formula>$C37=$E$3</formula>
    </cfRule>
    <cfRule type="expression" dxfId="2222" priority="332">
      <formula>$C37&lt;$E$3</formula>
    </cfRule>
    <cfRule type="cellIs" dxfId="2221" priority="333" operator="equal">
      <formula>0</formula>
    </cfRule>
    <cfRule type="expression" dxfId="2220" priority="334">
      <formula>$C37&gt;$E$3</formula>
    </cfRule>
  </conditionalFormatting>
  <conditionalFormatting sqref="K37">
    <cfRule type="expression" dxfId="2219" priority="330">
      <formula>$C37&lt;$E$3</formula>
    </cfRule>
  </conditionalFormatting>
  <conditionalFormatting sqref="K37">
    <cfRule type="expression" dxfId="2218" priority="326">
      <formula>$C37=$E$3</formula>
    </cfRule>
    <cfRule type="expression" dxfId="2217" priority="327">
      <formula>$C37&lt;$E$3</formula>
    </cfRule>
    <cfRule type="cellIs" dxfId="2216" priority="328" operator="equal">
      <formula>0</formula>
    </cfRule>
    <cfRule type="expression" dxfId="2215" priority="329">
      <formula>$C37&gt;$E$3</formula>
    </cfRule>
  </conditionalFormatting>
  <conditionalFormatting sqref="K37">
    <cfRule type="expression" dxfId="2214" priority="305">
      <formula>$C37&lt;$E$3</formula>
    </cfRule>
  </conditionalFormatting>
  <conditionalFormatting sqref="K37">
    <cfRule type="expression" dxfId="2213" priority="301">
      <formula>$C37=$E$3</formula>
    </cfRule>
    <cfRule type="expression" dxfId="2212" priority="302">
      <formula>$C37&lt;$E$3</formula>
    </cfRule>
    <cfRule type="cellIs" dxfId="2211" priority="303" operator="equal">
      <formula>0</formula>
    </cfRule>
    <cfRule type="expression" dxfId="2210" priority="304">
      <formula>$C37&gt;$E$3</formula>
    </cfRule>
  </conditionalFormatting>
  <conditionalFormatting sqref="K37">
    <cfRule type="expression" dxfId="2209" priority="300">
      <formula>$C37&lt;$E$3</formula>
    </cfRule>
  </conditionalFormatting>
  <conditionalFormatting sqref="K37">
    <cfRule type="expression" dxfId="2208" priority="296">
      <formula>$C37=$E$3</formula>
    </cfRule>
    <cfRule type="expression" dxfId="2207" priority="297">
      <formula>$C37&lt;$E$3</formula>
    </cfRule>
    <cfRule type="cellIs" dxfId="2206" priority="298" operator="equal">
      <formula>0</formula>
    </cfRule>
    <cfRule type="expression" dxfId="2205" priority="299">
      <formula>$C37&gt;$E$3</formula>
    </cfRule>
  </conditionalFormatting>
  <conditionalFormatting sqref="K32:K36">
    <cfRule type="expression" dxfId="2204" priority="275">
      <formula>$C32&lt;$E$3</formula>
    </cfRule>
  </conditionalFormatting>
  <conditionalFormatting sqref="K32:K36">
    <cfRule type="expression" dxfId="2203" priority="271">
      <formula>$C32=$E$3</formula>
    </cfRule>
    <cfRule type="expression" dxfId="2202" priority="272">
      <formula>$C32&lt;$E$3</formula>
    </cfRule>
    <cfRule type="cellIs" dxfId="2201" priority="273" operator="equal">
      <formula>0</formula>
    </cfRule>
    <cfRule type="expression" dxfId="2200" priority="274">
      <formula>$C32&gt;$E$3</formula>
    </cfRule>
  </conditionalFormatting>
  <conditionalFormatting sqref="K32:K36">
    <cfRule type="expression" dxfId="2199" priority="270">
      <formula>$C32&lt;$E$3</formula>
    </cfRule>
  </conditionalFormatting>
  <conditionalFormatting sqref="K32:K36">
    <cfRule type="expression" dxfId="2198" priority="266">
      <formula>$C32=$E$3</formula>
    </cfRule>
    <cfRule type="expression" dxfId="2197" priority="267">
      <formula>$C32&lt;$E$3</formula>
    </cfRule>
    <cfRule type="cellIs" dxfId="2196" priority="268" operator="equal">
      <formula>0</formula>
    </cfRule>
    <cfRule type="expression" dxfId="2195" priority="269">
      <formula>$C32&gt;$E$3</formula>
    </cfRule>
  </conditionalFormatting>
  <conditionalFormatting sqref="H23:H29 H32 H14:H20 H11">
    <cfRule type="cellIs" dxfId="2194" priority="1007" stopIfTrue="1" operator="lessThan">
      <formula>0</formula>
    </cfRule>
  </conditionalFormatting>
  <conditionalFormatting sqref="H12">
    <cfRule type="expression" dxfId="2193" priority="1006">
      <formula>$F12&gt;=$F13</formula>
    </cfRule>
  </conditionalFormatting>
  <conditionalFormatting sqref="H21">
    <cfRule type="expression" dxfId="2192" priority="1005">
      <formula>$F21&gt;=$F22</formula>
    </cfRule>
  </conditionalFormatting>
  <conditionalFormatting sqref="H30">
    <cfRule type="expression" dxfId="2191" priority="1004">
      <formula>$F30&gt;=$F31</formula>
    </cfRule>
  </conditionalFormatting>
  <conditionalFormatting sqref="H12">
    <cfRule type="expression" dxfId="2190" priority="1003">
      <formula>$F12&gt;=$F13</formula>
    </cfRule>
  </conditionalFormatting>
  <conditionalFormatting sqref="H21">
    <cfRule type="expression" dxfId="2189" priority="1002">
      <formula>$F21&gt;=$F22</formula>
    </cfRule>
  </conditionalFormatting>
  <conditionalFormatting sqref="H30">
    <cfRule type="expression" dxfId="2188" priority="1001">
      <formula>$F30&gt;=$F31</formula>
    </cfRule>
  </conditionalFormatting>
  <conditionalFormatting sqref="H11">
    <cfRule type="expression" dxfId="2187" priority="999">
      <formula>$C11&lt;$E$3</formula>
    </cfRule>
  </conditionalFormatting>
  <conditionalFormatting sqref="H11">
    <cfRule type="expression" dxfId="2186" priority="996">
      <formula>$C11=$E$3</formula>
    </cfRule>
    <cfRule type="expression" dxfId="2185" priority="997">
      <formula>$C11&lt;$E$3</formula>
    </cfRule>
    <cfRule type="cellIs" dxfId="2184" priority="998" operator="equal">
      <formula>0</formula>
    </cfRule>
    <cfRule type="expression" dxfId="2183" priority="1000">
      <formula>$C11&gt;$E$3</formula>
    </cfRule>
  </conditionalFormatting>
  <conditionalFormatting sqref="H11">
    <cfRule type="expression" dxfId="2182" priority="995">
      <formula>$C11&lt;$E$3</formula>
    </cfRule>
  </conditionalFormatting>
  <conditionalFormatting sqref="H11">
    <cfRule type="expression" dxfId="2181" priority="991">
      <formula>$C11=$E$3</formula>
    </cfRule>
    <cfRule type="expression" dxfId="2180" priority="992">
      <formula>$C11&lt;$E$3</formula>
    </cfRule>
    <cfRule type="cellIs" dxfId="2179" priority="993" operator="equal">
      <formula>0</formula>
    </cfRule>
    <cfRule type="expression" dxfId="2178" priority="994">
      <formula>$C11&gt;$E$3</formula>
    </cfRule>
  </conditionalFormatting>
  <conditionalFormatting sqref="H11">
    <cfRule type="expression" dxfId="2177" priority="990">
      <formula>$C11&lt;$E$3</formula>
    </cfRule>
  </conditionalFormatting>
  <conditionalFormatting sqref="H11">
    <cfRule type="expression" dxfId="2176" priority="986">
      <formula>$C11=$E$3</formula>
    </cfRule>
    <cfRule type="expression" dxfId="2175" priority="987">
      <formula>$C11&lt;$E$3</formula>
    </cfRule>
    <cfRule type="cellIs" dxfId="2174" priority="988" operator="equal">
      <formula>0</formula>
    </cfRule>
    <cfRule type="expression" dxfId="2173" priority="989">
      <formula>$C11&gt;$E$3</formula>
    </cfRule>
  </conditionalFormatting>
  <conditionalFormatting sqref="H11">
    <cfRule type="expression" dxfId="2172" priority="985">
      <formula>$C11&lt;$E$3</formula>
    </cfRule>
  </conditionalFormatting>
  <conditionalFormatting sqref="H11">
    <cfRule type="expression" dxfId="2171" priority="981">
      <formula>$C11=$E$3</formula>
    </cfRule>
    <cfRule type="expression" dxfId="2170" priority="982">
      <formula>$C11&lt;$E$3</formula>
    </cfRule>
    <cfRule type="cellIs" dxfId="2169" priority="983" operator="equal">
      <formula>0</formula>
    </cfRule>
    <cfRule type="expression" dxfId="2168" priority="984">
      <formula>$C11&gt;$E$3</formula>
    </cfRule>
  </conditionalFormatting>
  <conditionalFormatting sqref="H11">
    <cfRule type="expression" dxfId="2167" priority="980">
      <formula>$E11=""</formula>
    </cfRule>
  </conditionalFormatting>
  <conditionalFormatting sqref="H11">
    <cfRule type="expression" dxfId="2166" priority="979">
      <formula>$C11&lt;$E$3</formula>
    </cfRule>
  </conditionalFormatting>
  <conditionalFormatting sqref="H11">
    <cfRule type="expression" dxfId="2165" priority="978">
      <formula>$E11=""</formula>
    </cfRule>
  </conditionalFormatting>
  <conditionalFormatting sqref="H11">
    <cfRule type="expression" dxfId="2164" priority="977">
      <formula>$E11=""</formula>
    </cfRule>
  </conditionalFormatting>
  <conditionalFormatting sqref="H11">
    <cfRule type="expression" dxfId="2163" priority="976">
      <formula>$C11&lt;$E$3</formula>
    </cfRule>
  </conditionalFormatting>
  <conditionalFormatting sqref="H11">
    <cfRule type="expression" dxfId="2162" priority="975">
      <formula>$E11=""</formula>
    </cfRule>
  </conditionalFormatting>
  <conditionalFormatting sqref="H11">
    <cfRule type="expression" dxfId="2161" priority="974">
      <formula>$C11&lt;$E$3</formula>
    </cfRule>
  </conditionalFormatting>
  <conditionalFormatting sqref="H11">
    <cfRule type="expression" dxfId="2160" priority="973">
      <formula>$E11=""</formula>
    </cfRule>
  </conditionalFormatting>
  <conditionalFormatting sqref="H11">
    <cfRule type="expression" dxfId="2159" priority="972">
      <formula>$C11&lt;$E$3</formula>
    </cfRule>
  </conditionalFormatting>
  <conditionalFormatting sqref="H11">
    <cfRule type="expression" dxfId="2158" priority="971">
      <formula>$E11=""</formula>
    </cfRule>
  </conditionalFormatting>
  <conditionalFormatting sqref="H14:H20">
    <cfRule type="expression" dxfId="2157" priority="969">
      <formula>$C14&lt;$E$3</formula>
    </cfRule>
  </conditionalFormatting>
  <conditionalFormatting sqref="H14:H20">
    <cfRule type="expression" dxfId="2156" priority="966">
      <formula>$C14=$E$3</formula>
    </cfRule>
    <cfRule type="expression" dxfId="2155" priority="967">
      <formula>$C14&lt;$E$3</formula>
    </cfRule>
    <cfRule type="cellIs" dxfId="2154" priority="968" operator="equal">
      <formula>0</formula>
    </cfRule>
    <cfRule type="expression" dxfId="2153" priority="970">
      <formula>$C14&gt;$E$3</formula>
    </cfRule>
  </conditionalFormatting>
  <conditionalFormatting sqref="H14:H20">
    <cfRule type="expression" dxfId="2152" priority="965">
      <formula>$C14&lt;$E$3</formula>
    </cfRule>
  </conditionalFormatting>
  <conditionalFormatting sqref="H14:H20">
    <cfRule type="expression" dxfId="2151" priority="961">
      <formula>$C14=$E$3</formula>
    </cfRule>
    <cfRule type="expression" dxfId="2150" priority="962">
      <formula>$C14&lt;$E$3</formula>
    </cfRule>
    <cfRule type="cellIs" dxfId="2149" priority="963" operator="equal">
      <formula>0</formula>
    </cfRule>
    <cfRule type="expression" dxfId="2148" priority="964">
      <formula>$C14&gt;$E$3</formula>
    </cfRule>
  </conditionalFormatting>
  <conditionalFormatting sqref="H14:H20">
    <cfRule type="expression" dxfId="2147" priority="960">
      <formula>$C14&lt;$E$3</formula>
    </cfRule>
  </conditionalFormatting>
  <conditionalFormatting sqref="H14:H20">
    <cfRule type="expression" dxfId="2146" priority="956">
      <formula>$C14=$E$3</formula>
    </cfRule>
    <cfRule type="expression" dxfId="2145" priority="957">
      <formula>$C14&lt;$E$3</formula>
    </cfRule>
    <cfRule type="cellIs" dxfId="2144" priority="958" operator="equal">
      <formula>0</formula>
    </cfRule>
    <cfRule type="expression" dxfId="2143" priority="959">
      <formula>$C14&gt;$E$3</formula>
    </cfRule>
  </conditionalFormatting>
  <conditionalFormatting sqref="H14:H20">
    <cfRule type="expression" dxfId="2142" priority="955">
      <formula>$C14&lt;$E$3</formula>
    </cfRule>
  </conditionalFormatting>
  <conditionalFormatting sqref="H14:H20">
    <cfRule type="expression" dxfId="2141" priority="951">
      <formula>$C14=$E$3</formula>
    </cfRule>
    <cfRule type="expression" dxfId="2140" priority="952">
      <formula>$C14&lt;$E$3</formula>
    </cfRule>
    <cfRule type="cellIs" dxfId="2139" priority="953" operator="equal">
      <formula>0</formula>
    </cfRule>
    <cfRule type="expression" dxfId="2138" priority="954">
      <formula>$C14&gt;$E$3</formula>
    </cfRule>
  </conditionalFormatting>
  <conditionalFormatting sqref="H14:H20">
    <cfRule type="expression" dxfId="2137" priority="950">
      <formula>$E14=""</formula>
    </cfRule>
  </conditionalFormatting>
  <conditionalFormatting sqref="H14:H20">
    <cfRule type="expression" dxfId="2136" priority="949">
      <formula>$C14&lt;$E$3</formula>
    </cfRule>
  </conditionalFormatting>
  <conditionalFormatting sqref="H14:H20">
    <cfRule type="expression" dxfId="2135" priority="948">
      <formula>$E14=""</formula>
    </cfRule>
  </conditionalFormatting>
  <conditionalFormatting sqref="H14:H20">
    <cfRule type="expression" dxfId="2134" priority="947">
      <formula>$E14=""</formula>
    </cfRule>
  </conditionalFormatting>
  <conditionalFormatting sqref="H14:H20">
    <cfRule type="expression" dxfId="2133" priority="946">
      <formula>$C14&lt;$E$3</formula>
    </cfRule>
  </conditionalFormatting>
  <conditionalFormatting sqref="H14:H20">
    <cfRule type="expression" dxfId="2132" priority="945">
      <formula>$E14=""</formula>
    </cfRule>
  </conditionalFormatting>
  <conditionalFormatting sqref="H14:H20">
    <cfRule type="expression" dxfId="2131" priority="944">
      <formula>$C14&lt;$E$3</formula>
    </cfRule>
  </conditionalFormatting>
  <conditionalFormatting sqref="H14:H20">
    <cfRule type="expression" dxfId="2130" priority="943">
      <formula>$E14=""</formula>
    </cfRule>
  </conditionalFormatting>
  <conditionalFormatting sqref="H14:H20">
    <cfRule type="expression" dxfId="2129" priority="942">
      <formula>$C14&lt;$E$3</formula>
    </cfRule>
  </conditionalFormatting>
  <conditionalFormatting sqref="H14:H20">
    <cfRule type="expression" dxfId="2128" priority="941">
      <formula>$E14=""</formula>
    </cfRule>
  </conditionalFormatting>
  <conditionalFormatting sqref="H23:H29">
    <cfRule type="expression" dxfId="2127" priority="939">
      <formula>$C23&lt;$E$3</formula>
    </cfRule>
  </conditionalFormatting>
  <conditionalFormatting sqref="H23:H29">
    <cfRule type="expression" dxfId="2126" priority="936">
      <formula>$C23=$E$3</formula>
    </cfRule>
    <cfRule type="expression" dxfId="2125" priority="937">
      <formula>$C23&lt;$E$3</formula>
    </cfRule>
    <cfRule type="cellIs" dxfId="2124" priority="938" operator="equal">
      <formula>0</formula>
    </cfRule>
    <cfRule type="expression" dxfId="2123" priority="940">
      <formula>$C23&gt;$E$3</formula>
    </cfRule>
  </conditionalFormatting>
  <conditionalFormatting sqref="H23:H29">
    <cfRule type="expression" dxfId="2122" priority="935">
      <formula>$C23&lt;$E$3</formula>
    </cfRule>
  </conditionalFormatting>
  <conditionalFormatting sqref="H23:H29">
    <cfRule type="expression" dxfId="2121" priority="931">
      <formula>$C23=$E$3</formula>
    </cfRule>
    <cfRule type="expression" dxfId="2120" priority="932">
      <formula>$C23&lt;$E$3</formula>
    </cfRule>
    <cfRule type="cellIs" dxfId="2119" priority="933" operator="equal">
      <formula>0</formula>
    </cfRule>
    <cfRule type="expression" dxfId="2118" priority="934">
      <formula>$C23&gt;$E$3</formula>
    </cfRule>
  </conditionalFormatting>
  <conditionalFormatting sqref="H23:H29">
    <cfRule type="expression" dxfId="2117" priority="930">
      <formula>$C23&lt;$E$3</formula>
    </cfRule>
  </conditionalFormatting>
  <conditionalFormatting sqref="H23:H29">
    <cfRule type="expression" dxfId="2116" priority="926">
      <formula>$C23=$E$3</formula>
    </cfRule>
    <cfRule type="expression" dxfId="2115" priority="927">
      <formula>$C23&lt;$E$3</formula>
    </cfRule>
    <cfRule type="cellIs" dxfId="2114" priority="928" operator="equal">
      <formula>0</formula>
    </cfRule>
    <cfRule type="expression" dxfId="2113" priority="929">
      <formula>$C23&gt;$E$3</formula>
    </cfRule>
  </conditionalFormatting>
  <conditionalFormatting sqref="H23:H29">
    <cfRule type="expression" dxfId="2112" priority="925">
      <formula>$C23&lt;$E$3</formula>
    </cfRule>
  </conditionalFormatting>
  <conditionalFormatting sqref="H23:H29">
    <cfRule type="expression" dxfId="2111" priority="921">
      <formula>$C23=$E$3</formula>
    </cfRule>
    <cfRule type="expression" dxfId="2110" priority="922">
      <formula>$C23&lt;$E$3</formula>
    </cfRule>
    <cfRule type="cellIs" dxfId="2109" priority="923" operator="equal">
      <formula>0</formula>
    </cfRule>
    <cfRule type="expression" dxfId="2108" priority="924">
      <formula>$C23&gt;$E$3</formula>
    </cfRule>
  </conditionalFormatting>
  <conditionalFormatting sqref="H23:H29">
    <cfRule type="expression" dxfId="2107" priority="920">
      <formula>$E23=""</formula>
    </cfRule>
  </conditionalFormatting>
  <conditionalFormatting sqref="H23:H29">
    <cfRule type="expression" dxfId="2106" priority="919">
      <formula>$C23&lt;$E$3</formula>
    </cfRule>
  </conditionalFormatting>
  <conditionalFormatting sqref="H23:H29">
    <cfRule type="expression" dxfId="2105" priority="918">
      <formula>$E23=""</formula>
    </cfRule>
  </conditionalFormatting>
  <conditionalFormatting sqref="H23:H29">
    <cfRule type="expression" dxfId="2104" priority="917">
      <formula>$E23=""</formula>
    </cfRule>
  </conditionalFormatting>
  <conditionalFormatting sqref="H23:H29">
    <cfRule type="expression" dxfId="2103" priority="916">
      <formula>$C23&lt;$E$3</formula>
    </cfRule>
  </conditionalFormatting>
  <conditionalFormatting sqref="H23:H29">
    <cfRule type="expression" dxfId="2102" priority="915">
      <formula>$E23=""</formula>
    </cfRule>
  </conditionalFormatting>
  <conditionalFormatting sqref="H23:H29">
    <cfRule type="expression" dxfId="2101" priority="914">
      <formula>$C23&lt;$E$3</formula>
    </cfRule>
  </conditionalFormatting>
  <conditionalFormatting sqref="H23:H29">
    <cfRule type="expression" dxfId="2100" priority="913">
      <formula>$E23=""</formula>
    </cfRule>
  </conditionalFormatting>
  <conditionalFormatting sqref="H23:H29">
    <cfRule type="expression" dxfId="2099" priority="912">
      <formula>$C23&lt;$E$3</formula>
    </cfRule>
  </conditionalFormatting>
  <conditionalFormatting sqref="H23:H29">
    <cfRule type="expression" dxfId="2098" priority="911">
      <formula>$E23=""</formula>
    </cfRule>
  </conditionalFormatting>
  <conditionalFormatting sqref="H32">
    <cfRule type="expression" dxfId="2097" priority="909">
      <formula>$C32&lt;$E$3</formula>
    </cfRule>
  </conditionalFormatting>
  <conditionalFormatting sqref="H32">
    <cfRule type="expression" dxfId="2096" priority="906">
      <formula>$C32=$E$3</formula>
    </cfRule>
    <cfRule type="expression" dxfId="2095" priority="907">
      <formula>$C32&lt;$E$3</formula>
    </cfRule>
    <cfRule type="cellIs" dxfId="2094" priority="908" operator="equal">
      <formula>0</formula>
    </cfRule>
    <cfRule type="expression" dxfId="2093" priority="910">
      <formula>$C32&gt;$E$3</formula>
    </cfRule>
  </conditionalFormatting>
  <conditionalFormatting sqref="H32">
    <cfRule type="expression" dxfId="2092" priority="905">
      <formula>$C32&lt;$E$3</formula>
    </cfRule>
  </conditionalFormatting>
  <conditionalFormatting sqref="H32">
    <cfRule type="expression" dxfId="2091" priority="901">
      <formula>$C32=$E$3</formula>
    </cfRule>
    <cfRule type="expression" dxfId="2090" priority="902">
      <formula>$C32&lt;$E$3</formula>
    </cfRule>
    <cfRule type="cellIs" dxfId="2089" priority="903" operator="equal">
      <formula>0</formula>
    </cfRule>
    <cfRule type="expression" dxfId="2088" priority="904">
      <formula>$C32&gt;$E$3</formula>
    </cfRule>
  </conditionalFormatting>
  <conditionalFormatting sqref="H32">
    <cfRule type="expression" dxfId="2087" priority="900">
      <formula>$C32&lt;$E$3</formula>
    </cfRule>
  </conditionalFormatting>
  <conditionalFormatting sqref="H32">
    <cfRule type="expression" dxfId="2086" priority="896">
      <formula>$C32=$E$3</formula>
    </cfRule>
    <cfRule type="expression" dxfId="2085" priority="897">
      <formula>$C32&lt;$E$3</formula>
    </cfRule>
    <cfRule type="cellIs" dxfId="2084" priority="898" operator="equal">
      <formula>0</formula>
    </cfRule>
    <cfRule type="expression" dxfId="2083" priority="899">
      <formula>$C32&gt;$E$3</formula>
    </cfRule>
  </conditionalFormatting>
  <conditionalFormatting sqref="H32">
    <cfRule type="expression" dxfId="2082" priority="895">
      <formula>$C32&lt;$E$3</formula>
    </cfRule>
  </conditionalFormatting>
  <conditionalFormatting sqref="H32">
    <cfRule type="expression" dxfId="2081" priority="891">
      <formula>$C32=$E$3</formula>
    </cfRule>
    <cfRule type="expression" dxfId="2080" priority="892">
      <formula>$C32&lt;$E$3</formula>
    </cfRule>
    <cfRule type="cellIs" dxfId="2079" priority="893" operator="equal">
      <formula>0</formula>
    </cfRule>
    <cfRule type="expression" dxfId="2078" priority="894">
      <formula>$C32&gt;$E$3</formula>
    </cfRule>
  </conditionalFormatting>
  <conditionalFormatting sqref="H32">
    <cfRule type="expression" dxfId="2077" priority="890">
      <formula>$E32=""</formula>
    </cfRule>
  </conditionalFormatting>
  <conditionalFormatting sqref="H32">
    <cfRule type="expression" dxfId="2076" priority="889">
      <formula>$C32&lt;$E$3</formula>
    </cfRule>
  </conditionalFormatting>
  <conditionalFormatting sqref="H32">
    <cfRule type="expression" dxfId="2075" priority="888">
      <formula>$E32=""</formula>
    </cfRule>
  </conditionalFormatting>
  <conditionalFormatting sqref="H32">
    <cfRule type="expression" dxfId="2074" priority="887">
      <formula>$E32=""</formula>
    </cfRule>
  </conditionalFormatting>
  <conditionalFormatting sqref="H32">
    <cfRule type="expression" dxfId="2073" priority="886">
      <formula>$C32&lt;$E$3</formula>
    </cfRule>
  </conditionalFormatting>
  <conditionalFormatting sqref="H32">
    <cfRule type="expression" dxfId="2072" priority="885">
      <formula>$E32=""</formula>
    </cfRule>
  </conditionalFormatting>
  <conditionalFormatting sqref="H32">
    <cfRule type="expression" dxfId="2071" priority="884">
      <formula>$C32&lt;$E$3</formula>
    </cfRule>
  </conditionalFormatting>
  <conditionalFormatting sqref="H32">
    <cfRule type="expression" dxfId="2070" priority="883">
      <formula>$E32=""</formula>
    </cfRule>
  </conditionalFormatting>
  <conditionalFormatting sqref="H32">
    <cfRule type="expression" dxfId="2069" priority="882">
      <formula>$C32&lt;$E$3</formula>
    </cfRule>
  </conditionalFormatting>
  <conditionalFormatting sqref="H32">
    <cfRule type="expression" dxfId="2068" priority="881">
      <formula>$E32=""</formula>
    </cfRule>
  </conditionalFormatting>
  <conditionalFormatting sqref="F52:H52">
    <cfRule type="expression" dxfId="2067" priority="1378" stopIfTrue="1">
      <formula>$H$52=-1E-55</formula>
    </cfRule>
    <cfRule type="expression" dxfId="2066" priority="1379">
      <formula>$F52&gt;=$F53</formula>
    </cfRule>
  </conditionalFormatting>
  <conditionalFormatting sqref="K48:K49">
    <cfRule type="cellIs" dxfId="2065" priority="879" stopIfTrue="1" operator="lessThan">
      <formula>0</formula>
    </cfRule>
  </conditionalFormatting>
  <conditionalFormatting sqref="K48:K49">
    <cfRule type="expression" dxfId="2064" priority="878">
      <formula>$C68&lt;$E$3</formula>
    </cfRule>
  </conditionalFormatting>
  <conditionalFormatting sqref="K48:K49">
    <cfRule type="expression" dxfId="2063" priority="874">
      <formula>$C68=$E$3</formula>
    </cfRule>
    <cfRule type="expression" dxfId="2062" priority="875">
      <formula>$C68&lt;$E$3</formula>
    </cfRule>
    <cfRule type="cellIs" dxfId="2061" priority="876" operator="equal">
      <formula>0</formula>
    </cfRule>
    <cfRule type="expression" dxfId="2060" priority="877">
      <formula>$C68&gt;$E$3</formula>
    </cfRule>
  </conditionalFormatting>
  <conditionalFormatting sqref="K48:K49">
    <cfRule type="expression" dxfId="2059" priority="873">
      <formula>$C68&lt;$E$3</formula>
    </cfRule>
  </conditionalFormatting>
  <conditionalFormatting sqref="K48:K49">
    <cfRule type="expression" dxfId="2058" priority="869">
      <formula>$C68=$E$3</formula>
    </cfRule>
    <cfRule type="expression" dxfId="2057" priority="870">
      <formula>$C68&lt;$E$3</formula>
    </cfRule>
    <cfRule type="cellIs" dxfId="2056" priority="871" operator="equal">
      <formula>0</formula>
    </cfRule>
    <cfRule type="expression" dxfId="2055" priority="872">
      <formula>$C68&gt;$E$3</formula>
    </cfRule>
  </conditionalFormatting>
  <conditionalFormatting sqref="K48:K49">
    <cfRule type="expression" dxfId="2054" priority="868">
      <formula>$C68&lt;$E$3</formula>
    </cfRule>
  </conditionalFormatting>
  <conditionalFormatting sqref="K48:K49">
    <cfRule type="expression" dxfId="2053" priority="864">
      <formula>$C68=$E$3</formula>
    </cfRule>
    <cfRule type="expression" dxfId="2052" priority="865">
      <formula>$C68&lt;$E$3</formula>
    </cfRule>
    <cfRule type="cellIs" dxfId="2051" priority="866" operator="equal">
      <formula>0</formula>
    </cfRule>
    <cfRule type="expression" dxfId="2050" priority="867">
      <formula>$C68&gt;$E$3</formula>
    </cfRule>
  </conditionalFormatting>
  <conditionalFormatting sqref="K48:K49">
    <cfRule type="expression" dxfId="2049" priority="863">
      <formula>$C68&lt;$E$3</formula>
    </cfRule>
  </conditionalFormatting>
  <conditionalFormatting sqref="K48:K49">
    <cfRule type="expression" dxfId="2048" priority="859">
      <formula>$C68=$E$3</formula>
    </cfRule>
    <cfRule type="expression" dxfId="2047" priority="860">
      <formula>$C68&lt;$E$3</formula>
    </cfRule>
    <cfRule type="cellIs" dxfId="2046" priority="861" operator="equal">
      <formula>0</formula>
    </cfRule>
    <cfRule type="expression" dxfId="2045" priority="862">
      <formula>$C68&gt;$E$3</formula>
    </cfRule>
  </conditionalFormatting>
  <conditionalFormatting sqref="K48:K49">
    <cfRule type="expression" dxfId="2044" priority="858">
      <formula>$E68=""</formula>
    </cfRule>
  </conditionalFormatting>
  <conditionalFormatting sqref="K48:K49">
    <cfRule type="expression" dxfId="2043" priority="857">
      <formula>$C68&lt;$E$3</formula>
    </cfRule>
  </conditionalFormatting>
  <conditionalFormatting sqref="K48:K49">
    <cfRule type="expression" dxfId="2042" priority="856">
      <formula>$E68=""</formula>
    </cfRule>
  </conditionalFormatting>
  <conditionalFormatting sqref="K48:K49">
    <cfRule type="expression" dxfId="2041" priority="855">
      <formula>$E68=""</formula>
    </cfRule>
  </conditionalFormatting>
  <conditionalFormatting sqref="K48:K49">
    <cfRule type="expression" dxfId="2040" priority="854">
      <formula>$C68&lt;$E$3</formula>
    </cfRule>
  </conditionalFormatting>
  <conditionalFormatting sqref="K48:K49">
    <cfRule type="expression" dxfId="2039" priority="853">
      <formula>$E68=""</formula>
    </cfRule>
  </conditionalFormatting>
  <conditionalFormatting sqref="K48:K49">
    <cfRule type="expression" dxfId="2038" priority="852">
      <formula>$C68&lt;$E$3</formula>
    </cfRule>
  </conditionalFormatting>
  <conditionalFormatting sqref="K48:K49">
    <cfRule type="expression" dxfId="2037" priority="851">
      <formula>$E68=""</formula>
    </cfRule>
  </conditionalFormatting>
  <conditionalFormatting sqref="K48:K49">
    <cfRule type="expression" dxfId="2036" priority="850">
      <formula>$C68&lt;$E$3</formula>
    </cfRule>
  </conditionalFormatting>
  <conditionalFormatting sqref="K48:K49">
    <cfRule type="expression" dxfId="2035" priority="849">
      <formula>$E68=""</formula>
    </cfRule>
  </conditionalFormatting>
  <conditionalFormatting sqref="K48:K49">
    <cfRule type="expression" dxfId="2034" priority="848">
      <formula>$C68&lt;$E$3</formula>
    </cfRule>
  </conditionalFormatting>
  <conditionalFormatting sqref="K48:K49">
    <cfRule type="expression" dxfId="2033" priority="844">
      <formula>$C68=$E$3</formula>
    </cfRule>
    <cfRule type="expression" dxfId="2032" priority="845">
      <formula>$C68&lt;$E$3</formula>
    </cfRule>
    <cfRule type="cellIs" dxfId="2031" priority="846" operator="equal">
      <formula>0</formula>
    </cfRule>
    <cfRule type="expression" dxfId="2030" priority="847">
      <formula>$C68&gt;$E$3</formula>
    </cfRule>
  </conditionalFormatting>
  <conditionalFormatting sqref="K48:K49">
    <cfRule type="expression" dxfId="2029" priority="843">
      <formula>$C68&lt;$E$3</formula>
    </cfRule>
  </conditionalFormatting>
  <conditionalFormatting sqref="K48:K49">
    <cfRule type="expression" dxfId="2028" priority="839">
      <formula>$C68=$E$3</formula>
    </cfRule>
    <cfRule type="expression" dxfId="2027" priority="840">
      <formula>$C68&lt;$E$3</formula>
    </cfRule>
    <cfRule type="cellIs" dxfId="2026" priority="841" operator="equal">
      <formula>0</formula>
    </cfRule>
    <cfRule type="expression" dxfId="2025" priority="842">
      <formula>$C68&gt;$E$3</formula>
    </cfRule>
  </conditionalFormatting>
  <conditionalFormatting sqref="K48:K49">
    <cfRule type="expression" dxfId="2024" priority="838">
      <formula>$C68&lt;$E$3</formula>
    </cfRule>
  </conditionalFormatting>
  <conditionalFormatting sqref="K48:K49">
    <cfRule type="expression" dxfId="2023" priority="834">
      <formula>$C68=$E$3</formula>
    </cfRule>
    <cfRule type="expression" dxfId="2022" priority="835">
      <formula>$C68&lt;$E$3</formula>
    </cfRule>
    <cfRule type="cellIs" dxfId="2021" priority="836" operator="equal">
      <formula>0</formula>
    </cfRule>
    <cfRule type="expression" dxfId="2020" priority="837">
      <formula>$C68&gt;$E$3</formula>
    </cfRule>
  </conditionalFormatting>
  <conditionalFormatting sqref="K48:K49">
    <cfRule type="expression" dxfId="2019" priority="833">
      <formula>$C68&lt;$E$3</formula>
    </cfRule>
  </conditionalFormatting>
  <conditionalFormatting sqref="K48:K49">
    <cfRule type="expression" dxfId="2018" priority="829">
      <formula>$C68=$E$3</formula>
    </cfRule>
    <cfRule type="expression" dxfId="2017" priority="830">
      <formula>$C68&lt;$E$3</formula>
    </cfRule>
    <cfRule type="cellIs" dxfId="2016" priority="831" operator="equal">
      <formula>0</formula>
    </cfRule>
    <cfRule type="expression" dxfId="2015" priority="832">
      <formula>$C68&gt;$E$3</formula>
    </cfRule>
  </conditionalFormatting>
  <conditionalFormatting sqref="K48:K49">
    <cfRule type="expression" dxfId="2014" priority="828">
      <formula>$E68=""</formula>
    </cfRule>
  </conditionalFormatting>
  <conditionalFormatting sqref="K48:K49">
    <cfRule type="expression" dxfId="2013" priority="827">
      <formula>$C68&lt;$E$3</formula>
    </cfRule>
  </conditionalFormatting>
  <conditionalFormatting sqref="K48:K49">
    <cfRule type="expression" dxfId="2012" priority="826">
      <formula>$E68=""</formula>
    </cfRule>
  </conditionalFormatting>
  <conditionalFormatting sqref="K48:K49">
    <cfRule type="expression" dxfId="2011" priority="825">
      <formula>$E68=""</formula>
    </cfRule>
  </conditionalFormatting>
  <conditionalFormatting sqref="K48:K49">
    <cfRule type="expression" dxfId="2010" priority="824">
      <formula>$C68&lt;$E$3</formula>
    </cfRule>
  </conditionalFormatting>
  <conditionalFormatting sqref="K48:K49">
    <cfRule type="expression" dxfId="2009" priority="823">
      <formula>$E68=""</formula>
    </cfRule>
  </conditionalFormatting>
  <conditionalFormatting sqref="K48:K49">
    <cfRule type="expression" dxfId="2008" priority="822">
      <formula>$C68&lt;$E$3</formula>
    </cfRule>
  </conditionalFormatting>
  <conditionalFormatting sqref="K48:K49">
    <cfRule type="expression" dxfId="2007" priority="821">
      <formula>$E68=""</formula>
    </cfRule>
  </conditionalFormatting>
  <conditionalFormatting sqref="K48:K49">
    <cfRule type="expression" dxfId="2006" priority="820">
      <formula>$C68&lt;$E$3</formula>
    </cfRule>
  </conditionalFormatting>
  <conditionalFormatting sqref="K48:K49">
    <cfRule type="expression" dxfId="2005" priority="819">
      <formula>$E68=""</formula>
    </cfRule>
  </conditionalFormatting>
  <conditionalFormatting sqref="K50:K51">
    <cfRule type="expression" dxfId="2004" priority="51">
      <formula>$E50=""</formula>
    </cfRule>
  </conditionalFormatting>
  <conditionalFormatting sqref="H33:H37">
    <cfRule type="cellIs" dxfId="2003" priority="794" stopIfTrue="1" operator="lessThan">
      <formula>0</formula>
    </cfRule>
  </conditionalFormatting>
  <conditionalFormatting sqref="H33:H37">
    <cfRule type="expression" dxfId="2002" priority="798">
      <formula>$C33&lt;$E$3</formula>
    </cfRule>
  </conditionalFormatting>
  <conditionalFormatting sqref="H33:H37">
    <cfRule type="expression" dxfId="2001" priority="795">
      <formula>$C33=$E$3</formula>
    </cfRule>
    <cfRule type="expression" dxfId="2000" priority="796">
      <formula>$C33&lt;$E$3</formula>
    </cfRule>
    <cfRule type="cellIs" dxfId="1999" priority="797" operator="equal">
      <formula>0</formula>
    </cfRule>
    <cfRule type="expression" dxfId="1998" priority="799">
      <formula>$C33&gt;$E$3</formula>
    </cfRule>
  </conditionalFormatting>
  <conditionalFormatting sqref="H33:H37">
    <cfRule type="expression" dxfId="1997" priority="793">
      <formula>$C33&lt;$E$3</formula>
    </cfRule>
  </conditionalFormatting>
  <conditionalFormatting sqref="H33:H37">
    <cfRule type="expression" dxfId="1996" priority="789">
      <formula>$C33=$E$3</formula>
    </cfRule>
    <cfRule type="expression" dxfId="1995" priority="790">
      <formula>$C33&lt;$E$3</formula>
    </cfRule>
    <cfRule type="cellIs" dxfId="1994" priority="791" operator="equal">
      <formula>0</formula>
    </cfRule>
    <cfRule type="expression" dxfId="1993" priority="792">
      <formula>$C33&gt;$E$3</formula>
    </cfRule>
  </conditionalFormatting>
  <conditionalFormatting sqref="H33:H37">
    <cfRule type="expression" dxfId="1992" priority="788">
      <formula>$E33=""</formula>
    </cfRule>
  </conditionalFormatting>
  <conditionalFormatting sqref="H36">
    <cfRule type="expression" dxfId="1991" priority="787">
      <formula>$E36=""</formula>
    </cfRule>
  </conditionalFormatting>
  <conditionalFormatting sqref="H33:H37">
    <cfRule type="expression" dxfId="1990" priority="786">
      <formula>$C33&lt;$E$3</formula>
    </cfRule>
  </conditionalFormatting>
  <conditionalFormatting sqref="H33:H37">
    <cfRule type="expression" dxfId="1989" priority="782">
      <formula>$C33=$E$3</formula>
    </cfRule>
    <cfRule type="expression" dxfId="1988" priority="783">
      <formula>$C33&lt;$E$3</formula>
    </cfRule>
    <cfRule type="cellIs" dxfId="1987" priority="784" operator="equal">
      <formula>0</formula>
    </cfRule>
    <cfRule type="expression" dxfId="1986" priority="785">
      <formula>$C33&gt;$E$3</formula>
    </cfRule>
  </conditionalFormatting>
  <conditionalFormatting sqref="H33:H37">
    <cfRule type="expression" dxfId="1985" priority="781">
      <formula>$C33&lt;$E$3</formula>
    </cfRule>
  </conditionalFormatting>
  <conditionalFormatting sqref="H33:H37">
    <cfRule type="expression" dxfId="1984" priority="777">
      <formula>$C33=$E$3</formula>
    </cfRule>
    <cfRule type="expression" dxfId="1983" priority="778">
      <formula>$C33&lt;$E$3</formula>
    </cfRule>
    <cfRule type="cellIs" dxfId="1982" priority="779" operator="equal">
      <formula>0</formula>
    </cfRule>
    <cfRule type="expression" dxfId="1981" priority="780">
      <formula>$C33&gt;$E$3</formula>
    </cfRule>
  </conditionalFormatting>
  <conditionalFormatting sqref="H33:H37">
    <cfRule type="expression" dxfId="1980" priority="776">
      <formula>$E33=""</formula>
    </cfRule>
  </conditionalFormatting>
  <conditionalFormatting sqref="H33:H37">
    <cfRule type="expression" dxfId="1979" priority="775">
      <formula>$C33&lt;$E$3</formula>
    </cfRule>
  </conditionalFormatting>
  <conditionalFormatting sqref="H33:H37">
    <cfRule type="expression" dxfId="1978" priority="774">
      <formula>$E33=""</formula>
    </cfRule>
  </conditionalFormatting>
  <conditionalFormatting sqref="H33:H37">
    <cfRule type="expression" dxfId="1977" priority="773">
      <formula>$E33=""</formula>
    </cfRule>
  </conditionalFormatting>
  <conditionalFormatting sqref="H33:H37">
    <cfRule type="expression" dxfId="1976" priority="772">
      <formula>$C33&lt;$E$3</formula>
    </cfRule>
  </conditionalFormatting>
  <conditionalFormatting sqref="H33:H37">
    <cfRule type="expression" dxfId="1975" priority="771">
      <formula>$E33=""</formula>
    </cfRule>
  </conditionalFormatting>
  <conditionalFormatting sqref="H33:H37">
    <cfRule type="expression" dxfId="1974" priority="770">
      <formula>$C33&lt;$E$3</formula>
    </cfRule>
  </conditionalFormatting>
  <conditionalFormatting sqref="H33:H37">
    <cfRule type="expression" dxfId="1973" priority="769">
      <formula>$E33=""</formula>
    </cfRule>
  </conditionalFormatting>
  <conditionalFormatting sqref="H33:H37">
    <cfRule type="expression" dxfId="1972" priority="768">
      <formula>$C33&lt;$E$3</formula>
    </cfRule>
  </conditionalFormatting>
  <conditionalFormatting sqref="H33:H37">
    <cfRule type="expression" dxfId="1971" priority="767">
      <formula>$E33=""</formula>
    </cfRule>
  </conditionalFormatting>
  <conditionalFormatting sqref="J39:N40">
    <cfRule type="expression" dxfId="1970" priority="766">
      <formula>$L$40=0</formula>
    </cfRule>
  </conditionalFormatting>
  <conditionalFormatting sqref="K5:K11">
    <cfRule type="cellIs" dxfId="1969" priority="765" stopIfTrue="1" operator="lessThan">
      <formula>0</formula>
    </cfRule>
  </conditionalFormatting>
  <conditionalFormatting sqref="K5:K11">
    <cfRule type="expression" dxfId="1968" priority="763">
      <formula>$C5&lt;$E$3</formula>
    </cfRule>
  </conditionalFormatting>
  <conditionalFormatting sqref="K5:K11">
    <cfRule type="expression" dxfId="1967" priority="760">
      <formula>$C5=$E$3</formula>
    </cfRule>
    <cfRule type="expression" dxfId="1966" priority="761">
      <formula>$C5&lt;$E$3</formula>
    </cfRule>
    <cfRule type="cellIs" dxfId="1965" priority="762" operator="equal">
      <formula>0</formula>
    </cfRule>
    <cfRule type="expression" dxfId="1964" priority="764">
      <formula>$C5&gt;$E$3</formula>
    </cfRule>
  </conditionalFormatting>
  <conditionalFormatting sqref="K5:K11">
    <cfRule type="expression" dxfId="1963" priority="759">
      <formula>$E5=""</formula>
    </cfRule>
  </conditionalFormatting>
  <conditionalFormatting sqref="K5:K11">
    <cfRule type="expression" dxfId="1962" priority="758">
      <formula>$E5=""</formula>
    </cfRule>
  </conditionalFormatting>
  <conditionalFormatting sqref="K5:K11">
    <cfRule type="expression" dxfId="1961" priority="757">
      <formula>$E5=""</formula>
    </cfRule>
  </conditionalFormatting>
  <conditionalFormatting sqref="K10">
    <cfRule type="expression" dxfId="1960" priority="756">
      <formula>$C10&lt;$E$3</formula>
    </cfRule>
  </conditionalFormatting>
  <conditionalFormatting sqref="K10">
    <cfRule type="expression" dxfId="1959" priority="752">
      <formula>$C10=$E$3</formula>
    </cfRule>
    <cfRule type="expression" dxfId="1958" priority="753">
      <formula>$C10&lt;$E$3</formula>
    </cfRule>
    <cfRule type="cellIs" dxfId="1957" priority="754" operator="equal">
      <formula>0</formula>
    </cfRule>
    <cfRule type="expression" dxfId="1956" priority="755">
      <formula>$C10&gt;$E$3</formula>
    </cfRule>
  </conditionalFormatting>
  <conditionalFormatting sqref="K10">
    <cfRule type="expression" dxfId="1955" priority="751">
      <formula>$C10&lt;$E$3</formula>
    </cfRule>
  </conditionalFormatting>
  <conditionalFormatting sqref="K10">
    <cfRule type="expression" dxfId="1954" priority="747">
      <formula>$C10=$E$3</formula>
    </cfRule>
    <cfRule type="expression" dxfId="1953" priority="748">
      <formula>$C10&lt;$E$3</formula>
    </cfRule>
    <cfRule type="cellIs" dxfId="1952" priority="749" operator="equal">
      <formula>0</formula>
    </cfRule>
    <cfRule type="expression" dxfId="1951" priority="750">
      <formula>$C10&gt;$E$3</formula>
    </cfRule>
  </conditionalFormatting>
  <conditionalFormatting sqref="K10">
    <cfRule type="expression" dxfId="1950" priority="746">
      <formula>$C10&lt;$E$3</formula>
    </cfRule>
  </conditionalFormatting>
  <conditionalFormatting sqref="K10">
    <cfRule type="expression" dxfId="1949" priority="742">
      <formula>$C10=$E$3</formula>
    </cfRule>
    <cfRule type="expression" dxfId="1948" priority="743">
      <formula>$C10&lt;$E$3</formula>
    </cfRule>
    <cfRule type="cellIs" dxfId="1947" priority="744" operator="equal">
      <formula>0</formula>
    </cfRule>
    <cfRule type="expression" dxfId="1946" priority="745">
      <formula>$C10&gt;$E$3</formula>
    </cfRule>
  </conditionalFormatting>
  <conditionalFormatting sqref="K10">
    <cfRule type="expression" dxfId="1945" priority="741">
      <formula>$C10&lt;$E$3</formula>
    </cfRule>
  </conditionalFormatting>
  <conditionalFormatting sqref="K10">
    <cfRule type="expression" dxfId="1944" priority="737">
      <formula>$C10=$E$3</formula>
    </cfRule>
    <cfRule type="expression" dxfId="1943" priority="738">
      <formula>$C10&lt;$E$3</formula>
    </cfRule>
    <cfRule type="cellIs" dxfId="1942" priority="739" operator="equal">
      <formula>0</formula>
    </cfRule>
    <cfRule type="expression" dxfId="1941" priority="740">
      <formula>$C10&gt;$E$3</formula>
    </cfRule>
  </conditionalFormatting>
  <conditionalFormatting sqref="K10">
    <cfRule type="expression" dxfId="1940" priority="736">
      <formula>$E10=""</formula>
    </cfRule>
  </conditionalFormatting>
  <conditionalFormatting sqref="K10">
    <cfRule type="expression" dxfId="1939" priority="735">
      <formula>$C10&lt;$E$3</formula>
    </cfRule>
  </conditionalFormatting>
  <conditionalFormatting sqref="K10">
    <cfRule type="expression" dxfId="1938" priority="734">
      <formula>$E10=""</formula>
    </cfRule>
  </conditionalFormatting>
  <conditionalFormatting sqref="K10">
    <cfRule type="expression" dxfId="1937" priority="733">
      <formula>$E10=""</formula>
    </cfRule>
  </conditionalFormatting>
  <conditionalFormatting sqref="K10">
    <cfRule type="expression" dxfId="1936" priority="732">
      <formula>$C10&lt;$E$3</formula>
    </cfRule>
  </conditionalFormatting>
  <conditionalFormatting sqref="K10">
    <cfRule type="expression" dxfId="1935" priority="731">
      <formula>$E10=""</formula>
    </cfRule>
  </conditionalFormatting>
  <conditionalFormatting sqref="K10">
    <cfRule type="expression" dxfId="1934" priority="730">
      <formula>$C10&lt;$E$3</formula>
    </cfRule>
  </conditionalFormatting>
  <conditionalFormatting sqref="K10">
    <cfRule type="expression" dxfId="1933" priority="729">
      <formula>$E10=""</formula>
    </cfRule>
  </conditionalFormatting>
  <conditionalFormatting sqref="K10">
    <cfRule type="expression" dxfId="1932" priority="728">
      <formula>$C10&lt;$E$3</formula>
    </cfRule>
  </conditionalFormatting>
  <conditionalFormatting sqref="K10">
    <cfRule type="expression" dxfId="1931" priority="727">
      <formula>$E10=""</formula>
    </cfRule>
  </conditionalFormatting>
  <conditionalFormatting sqref="K10">
    <cfRule type="expression" dxfId="1930" priority="726">
      <formula>$C10&lt;$E$3</formula>
    </cfRule>
  </conditionalFormatting>
  <conditionalFormatting sqref="K10">
    <cfRule type="expression" dxfId="1929" priority="722">
      <formula>$C10=$E$3</formula>
    </cfRule>
    <cfRule type="expression" dxfId="1928" priority="723">
      <formula>$C10&lt;$E$3</formula>
    </cfRule>
    <cfRule type="cellIs" dxfId="1927" priority="724" operator="equal">
      <formula>0</formula>
    </cfRule>
    <cfRule type="expression" dxfId="1926" priority="725">
      <formula>$C10&gt;$E$3</formula>
    </cfRule>
  </conditionalFormatting>
  <conditionalFormatting sqref="K10">
    <cfRule type="expression" dxfId="1925" priority="721">
      <formula>$C10&lt;$E$3</formula>
    </cfRule>
  </conditionalFormatting>
  <conditionalFormatting sqref="K10">
    <cfRule type="expression" dxfId="1924" priority="717">
      <formula>$C10=$E$3</formula>
    </cfRule>
    <cfRule type="expression" dxfId="1923" priority="718">
      <formula>$C10&lt;$E$3</formula>
    </cfRule>
    <cfRule type="cellIs" dxfId="1922" priority="719" operator="equal">
      <formula>0</formula>
    </cfRule>
    <cfRule type="expression" dxfId="1921" priority="720">
      <formula>$C10&gt;$E$3</formula>
    </cfRule>
  </conditionalFormatting>
  <conditionalFormatting sqref="K10">
    <cfRule type="expression" dxfId="1920" priority="716">
      <formula>$C10&lt;$E$3</formula>
    </cfRule>
  </conditionalFormatting>
  <conditionalFormatting sqref="K10">
    <cfRule type="expression" dxfId="1919" priority="712">
      <formula>$C10=$E$3</formula>
    </cfRule>
    <cfRule type="expression" dxfId="1918" priority="713">
      <formula>$C10&lt;$E$3</formula>
    </cfRule>
    <cfRule type="cellIs" dxfId="1917" priority="714" operator="equal">
      <formula>0</formula>
    </cfRule>
    <cfRule type="expression" dxfId="1916" priority="715">
      <formula>$C10&gt;$E$3</formula>
    </cfRule>
  </conditionalFormatting>
  <conditionalFormatting sqref="K10">
    <cfRule type="expression" dxfId="1915" priority="711">
      <formula>$C10&lt;$E$3</formula>
    </cfRule>
  </conditionalFormatting>
  <conditionalFormatting sqref="K10">
    <cfRule type="expression" dxfId="1914" priority="707">
      <formula>$C10=$E$3</formula>
    </cfRule>
    <cfRule type="expression" dxfId="1913" priority="708">
      <formula>$C10&lt;$E$3</formula>
    </cfRule>
    <cfRule type="cellIs" dxfId="1912" priority="709" operator="equal">
      <formula>0</formula>
    </cfRule>
    <cfRule type="expression" dxfId="1911" priority="710">
      <formula>$C10&gt;$E$3</formula>
    </cfRule>
  </conditionalFormatting>
  <conditionalFormatting sqref="K10">
    <cfRule type="expression" dxfId="1910" priority="706">
      <formula>$E10=""</formula>
    </cfRule>
  </conditionalFormatting>
  <conditionalFormatting sqref="K10">
    <cfRule type="expression" dxfId="1909" priority="705">
      <formula>$C10&lt;$E$3</formula>
    </cfRule>
  </conditionalFormatting>
  <conditionalFormatting sqref="K10">
    <cfRule type="expression" dxfId="1908" priority="704">
      <formula>$E10=""</formula>
    </cfRule>
  </conditionalFormatting>
  <conditionalFormatting sqref="K10">
    <cfRule type="expression" dxfId="1907" priority="703">
      <formula>$E10=""</formula>
    </cfRule>
  </conditionalFormatting>
  <conditionalFormatting sqref="K10">
    <cfRule type="expression" dxfId="1906" priority="702">
      <formula>$C10&lt;$E$3</formula>
    </cfRule>
  </conditionalFormatting>
  <conditionalFormatting sqref="K10">
    <cfRule type="expression" dxfId="1905" priority="701">
      <formula>$E10=""</formula>
    </cfRule>
  </conditionalFormatting>
  <conditionalFormatting sqref="K10">
    <cfRule type="expression" dxfId="1904" priority="700">
      <formula>$C10&lt;$E$3</formula>
    </cfRule>
  </conditionalFormatting>
  <conditionalFormatting sqref="K10">
    <cfRule type="expression" dxfId="1903" priority="699">
      <formula>$E10=""</formula>
    </cfRule>
  </conditionalFormatting>
  <conditionalFormatting sqref="K10">
    <cfRule type="expression" dxfId="1902" priority="698">
      <formula>$C10&lt;$E$3</formula>
    </cfRule>
  </conditionalFormatting>
  <conditionalFormatting sqref="K10">
    <cfRule type="expression" dxfId="1901" priority="697">
      <formula>$E10=""</formula>
    </cfRule>
  </conditionalFormatting>
  <conditionalFormatting sqref="K5:K9">
    <cfRule type="expression" dxfId="1900" priority="696">
      <formula>$C5&lt;$E$3</formula>
    </cfRule>
  </conditionalFormatting>
  <conditionalFormatting sqref="K5:K9">
    <cfRule type="expression" dxfId="1899" priority="692">
      <formula>$C5=$E$3</formula>
    </cfRule>
    <cfRule type="expression" dxfId="1898" priority="693">
      <formula>$C5&lt;$E$3</formula>
    </cfRule>
    <cfRule type="cellIs" dxfId="1897" priority="694" operator="equal">
      <formula>0</formula>
    </cfRule>
    <cfRule type="expression" dxfId="1896" priority="695">
      <formula>$C5&gt;$E$3</formula>
    </cfRule>
  </conditionalFormatting>
  <conditionalFormatting sqref="K5:K9">
    <cfRule type="expression" dxfId="1895" priority="691">
      <formula>$C5&lt;$E$3</formula>
    </cfRule>
  </conditionalFormatting>
  <conditionalFormatting sqref="K5:K9">
    <cfRule type="expression" dxfId="1894" priority="687">
      <formula>$C5=$E$3</formula>
    </cfRule>
    <cfRule type="expression" dxfId="1893" priority="688">
      <formula>$C5&lt;$E$3</formula>
    </cfRule>
    <cfRule type="cellIs" dxfId="1892" priority="689" operator="equal">
      <formula>0</formula>
    </cfRule>
    <cfRule type="expression" dxfId="1891" priority="690">
      <formula>$C5&gt;$E$3</formula>
    </cfRule>
  </conditionalFormatting>
  <conditionalFormatting sqref="K5:K9">
    <cfRule type="expression" dxfId="1890" priority="686">
      <formula>$C5&lt;$E$3</formula>
    </cfRule>
  </conditionalFormatting>
  <conditionalFormatting sqref="K5:K9">
    <cfRule type="expression" dxfId="1889" priority="682">
      <formula>$C5=$E$3</formula>
    </cfRule>
    <cfRule type="expression" dxfId="1888" priority="683">
      <formula>$C5&lt;$E$3</formula>
    </cfRule>
    <cfRule type="cellIs" dxfId="1887" priority="684" operator="equal">
      <formula>0</formula>
    </cfRule>
    <cfRule type="expression" dxfId="1886" priority="685">
      <formula>$C5&gt;$E$3</formula>
    </cfRule>
  </conditionalFormatting>
  <conditionalFormatting sqref="K5:K9">
    <cfRule type="expression" dxfId="1885" priority="681">
      <formula>$C5&lt;$E$3</formula>
    </cfRule>
  </conditionalFormatting>
  <conditionalFormatting sqref="K5:K9">
    <cfRule type="expression" dxfId="1884" priority="677">
      <formula>$C5=$E$3</formula>
    </cfRule>
    <cfRule type="expression" dxfId="1883" priority="678">
      <formula>$C5&lt;$E$3</formula>
    </cfRule>
    <cfRule type="cellIs" dxfId="1882" priority="679" operator="equal">
      <formula>0</formula>
    </cfRule>
    <cfRule type="expression" dxfId="1881" priority="680">
      <formula>$C5&gt;$E$3</formula>
    </cfRule>
  </conditionalFormatting>
  <conditionalFormatting sqref="K5:K9">
    <cfRule type="expression" dxfId="1880" priority="676">
      <formula>$E5=""</formula>
    </cfRule>
  </conditionalFormatting>
  <conditionalFormatting sqref="K5:K9">
    <cfRule type="expression" dxfId="1879" priority="675">
      <formula>$C5&lt;$E$3</formula>
    </cfRule>
  </conditionalFormatting>
  <conditionalFormatting sqref="K5:K9">
    <cfRule type="expression" dxfId="1878" priority="674">
      <formula>$E5=""</formula>
    </cfRule>
  </conditionalFormatting>
  <conditionalFormatting sqref="K5:K9">
    <cfRule type="expression" dxfId="1877" priority="673">
      <formula>$E5=""</formula>
    </cfRule>
  </conditionalFormatting>
  <conditionalFormatting sqref="K5:K9">
    <cfRule type="expression" dxfId="1876" priority="672">
      <formula>$C5&lt;$E$3</formula>
    </cfRule>
  </conditionalFormatting>
  <conditionalFormatting sqref="K5:K9">
    <cfRule type="expression" dxfId="1875" priority="671">
      <formula>$E5=""</formula>
    </cfRule>
  </conditionalFormatting>
  <conditionalFormatting sqref="K5:K9">
    <cfRule type="expression" dxfId="1874" priority="670">
      <formula>$C5&lt;$E$3</formula>
    </cfRule>
  </conditionalFormatting>
  <conditionalFormatting sqref="K5:K9">
    <cfRule type="expression" dxfId="1873" priority="669">
      <formula>$E5=""</formula>
    </cfRule>
  </conditionalFormatting>
  <conditionalFormatting sqref="K5:K9">
    <cfRule type="expression" dxfId="1872" priority="668">
      <formula>$C5&lt;$E$3</formula>
    </cfRule>
  </conditionalFormatting>
  <conditionalFormatting sqref="K5:K9">
    <cfRule type="expression" dxfId="1871" priority="667">
      <formula>$E5=""</formula>
    </cfRule>
  </conditionalFormatting>
  <conditionalFormatting sqref="K5:K9">
    <cfRule type="expression" dxfId="1870" priority="666">
      <formula>$C5&lt;$E$3</formula>
    </cfRule>
  </conditionalFormatting>
  <conditionalFormatting sqref="K5:K9">
    <cfRule type="expression" dxfId="1869" priority="662">
      <formula>$C5=$E$3</formula>
    </cfRule>
    <cfRule type="expression" dxfId="1868" priority="663">
      <formula>$C5&lt;$E$3</formula>
    </cfRule>
    <cfRule type="cellIs" dxfId="1867" priority="664" operator="equal">
      <formula>0</formula>
    </cfRule>
    <cfRule type="expression" dxfId="1866" priority="665">
      <formula>$C5&gt;$E$3</formula>
    </cfRule>
  </conditionalFormatting>
  <conditionalFormatting sqref="K5:K9">
    <cfRule type="expression" dxfId="1865" priority="661">
      <formula>$C5&lt;$E$3</formula>
    </cfRule>
  </conditionalFormatting>
  <conditionalFormatting sqref="K5:K9">
    <cfRule type="expression" dxfId="1864" priority="657">
      <formula>$C5=$E$3</formula>
    </cfRule>
    <cfRule type="expression" dxfId="1863" priority="658">
      <formula>$C5&lt;$E$3</formula>
    </cfRule>
    <cfRule type="cellIs" dxfId="1862" priority="659" operator="equal">
      <formula>0</formula>
    </cfRule>
    <cfRule type="expression" dxfId="1861" priority="660">
      <formula>$C5&gt;$E$3</formula>
    </cfRule>
  </conditionalFormatting>
  <conditionalFormatting sqref="K5:K9">
    <cfRule type="expression" dxfId="1860" priority="656">
      <formula>$C5&lt;$E$3</formula>
    </cfRule>
  </conditionalFormatting>
  <conditionalFormatting sqref="K5:K9">
    <cfRule type="expression" dxfId="1859" priority="652">
      <formula>$C5=$E$3</formula>
    </cfRule>
    <cfRule type="expression" dxfId="1858" priority="653">
      <formula>$C5&lt;$E$3</formula>
    </cfRule>
    <cfRule type="cellIs" dxfId="1857" priority="654" operator="equal">
      <formula>0</formula>
    </cfRule>
    <cfRule type="expression" dxfId="1856" priority="655">
      <formula>$C5&gt;$E$3</formula>
    </cfRule>
  </conditionalFormatting>
  <conditionalFormatting sqref="K5:K9">
    <cfRule type="expression" dxfId="1855" priority="651">
      <formula>$C5&lt;$E$3</formula>
    </cfRule>
  </conditionalFormatting>
  <conditionalFormatting sqref="K5:K9">
    <cfRule type="expression" dxfId="1854" priority="647">
      <formula>$C5=$E$3</formula>
    </cfRule>
    <cfRule type="expression" dxfId="1853" priority="648">
      <formula>$C5&lt;$E$3</formula>
    </cfRule>
    <cfRule type="cellIs" dxfId="1852" priority="649" operator="equal">
      <formula>0</formula>
    </cfRule>
    <cfRule type="expression" dxfId="1851" priority="650">
      <formula>$C5&gt;$E$3</formula>
    </cfRule>
  </conditionalFormatting>
  <conditionalFormatting sqref="K5:K9">
    <cfRule type="expression" dxfId="1850" priority="646">
      <formula>$E5=""</formula>
    </cfRule>
  </conditionalFormatting>
  <conditionalFormatting sqref="K5:K9">
    <cfRule type="expression" dxfId="1849" priority="645">
      <formula>$C5&lt;$E$3</formula>
    </cfRule>
  </conditionalFormatting>
  <conditionalFormatting sqref="K5:K9">
    <cfRule type="expression" dxfId="1848" priority="644">
      <formula>$E5=""</formula>
    </cfRule>
  </conditionalFormatting>
  <conditionalFormatting sqref="K5:K9">
    <cfRule type="expression" dxfId="1847" priority="643">
      <formula>$E5=""</formula>
    </cfRule>
  </conditionalFormatting>
  <conditionalFormatting sqref="K5:K9">
    <cfRule type="expression" dxfId="1846" priority="642">
      <formula>$C5&lt;$E$3</formula>
    </cfRule>
  </conditionalFormatting>
  <conditionalFormatting sqref="K5:K9">
    <cfRule type="expression" dxfId="1845" priority="641">
      <formula>$E5=""</formula>
    </cfRule>
  </conditionalFormatting>
  <conditionalFormatting sqref="K5:K9">
    <cfRule type="expression" dxfId="1844" priority="640">
      <formula>$C5&lt;$E$3</formula>
    </cfRule>
  </conditionalFormatting>
  <conditionalFormatting sqref="K5:K9">
    <cfRule type="expression" dxfId="1843" priority="639">
      <formula>$E5=""</formula>
    </cfRule>
  </conditionalFormatting>
  <conditionalFormatting sqref="K5:K9">
    <cfRule type="expression" dxfId="1842" priority="638">
      <formula>$C5&lt;$E$3</formula>
    </cfRule>
  </conditionalFormatting>
  <conditionalFormatting sqref="K5:K9">
    <cfRule type="expression" dxfId="1841" priority="637">
      <formula>$E5=""</formula>
    </cfRule>
  </conditionalFormatting>
  <conditionalFormatting sqref="K5:K11">
    <cfRule type="expression" dxfId="1840" priority="635">
      <formula>$C5&lt;$E$3</formula>
    </cfRule>
  </conditionalFormatting>
  <conditionalFormatting sqref="K5:K11">
    <cfRule type="expression" dxfId="1839" priority="632">
      <formula>$C5=$E$3</formula>
    </cfRule>
    <cfRule type="expression" dxfId="1838" priority="633">
      <formula>$C5&lt;$E$3</formula>
    </cfRule>
    <cfRule type="cellIs" dxfId="1837" priority="634" operator="equal">
      <formula>0</formula>
    </cfRule>
    <cfRule type="expression" dxfId="1836" priority="636">
      <formula>$C5&gt;$E$3</formula>
    </cfRule>
  </conditionalFormatting>
  <conditionalFormatting sqref="K5:K11">
    <cfRule type="expression" dxfId="1835" priority="631">
      <formula>$E5=""</formula>
    </cfRule>
  </conditionalFormatting>
  <conditionalFormatting sqref="K5:K11">
    <cfRule type="expression" dxfId="1834" priority="630">
      <formula>$E5=""</formula>
    </cfRule>
  </conditionalFormatting>
  <conditionalFormatting sqref="K5:K11">
    <cfRule type="expression" dxfId="1833" priority="629">
      <formula>$E5=""</formula>
    </cfRule>
  </conditionalFormatting>
  <conditionalFormatting sqref="K14:K20">
    <cfRule type="cellIs" dxfId="1832" priority="628" stopIfTrue="1" operator="lessThan">
      <formula>0</formula>
    </cfRule>
  </conditionalFormatting>
  <conditionalFormatting sqref="K14:K20">
    <cfRule type="expression" dxfId="1831" priority="626">
      <formula>$C14&lt;$E$3</formula>
    </cfRule>
  </conditionalFormatting>
  <conditionalFormatting sqref="K14:K20">
    <cfRule type="expression" dxfId="1830" priority="623">
      <formula>$C14=$E$3</formula>
    </cfRule>
    <cfRule type="expression" dxfId="1829" priority="624">
      <formula>$C14&lt;$E$3</formula>
    </cfRule>
    <cfRule type="cellIs" dxfId="1828" priority="625" operator="equal">
      <formula>0</formula>
    </cfRule>
    <cfRule type="expression" dxfId="1827" priority="627">
      <formula>$C14&gt;$E$3</formula>
    </cfRule>
  </conditionalFormatting>
  <conditionalFormatting sqref="K14:K20">
    <cfRule type="expression" dxfId="1826" priority="622">
      <formula>$E14=""</formula>
    </cfRule>
  </conditionalFormatting>
  <conditionalFormatting sqref="K14:K20">
    <cfRule type="expression" dxfId="1825" priority="621">
      <formula>$E14=""</formula>
    </cfRule>
  </conditionalFormatting>
  <conditionalFormatting sqref="K14:K20">
    <cfRule type="expression" dxfId="1824" priority="620">
      <formula>$E14=""</formula>
    </cfRule>
  </conditionalFormatting>
  <conditionalFormatting sqref="K19">
    <cfRule type="expression" dxfId="1823" priority="619">
      <formula>$C19&lt;$E$3</formula>
    </cfRule>
  </conditionalFormatting>
  <conditionalFormatting sqref="K19">
    <cfRule type="expression" dxfId="1822" priority="615">
      <formula>$C19=$E$3</formula>
    </cfRule>
    <cfRule type="expression" dxfId="1821" priority="616">
      <formula>$C19&lt;$E$3</formula>
    </cfRule>
    <cfRule type="cellIs" dxfId="1820" priority="617" operator="equal">
      <formula>0</formula>
    </cfRule>
    <cfRule type="expression" dxfId="1819" priority="618">
      <formula>$C19&gt;$E$3</formula>
    </cfRule>
  </conditionalFormatting>
  <conditionalFormatting sqref="K19">
    <cfRule type="expression" dxfId="1818" priority="614">
      <formula>$C19&lt;$E$3</formula>
    </cfRule>
  </conditionalFormatting>
  <conditionalFormatting sqref="K19">
    <cfRule type="expression" dxfId="1817" priority="610">
      <formula>$C19=$E$3</formula>
    </cfRule>
    <cfRule type="expression" dxfId="1816" priority="611">
      <formula>$C19&lt;$E$3</formula>
    </cfRule>
    <cfRule type="cellIs" dxfId="1815" priority="612" operator="equal">
      <formula>0</formula>
    </cfRule>
    <cfRule type="expression" dxfId="1814" priority="613">
      <formula>$C19&gt;$E$3</formula>
    </cfRule>
  </conditionalFormatting>
  <conditionalFormatting sqref="K19">
    <cfRule type="expression" dxfId="1813" priority="609">
      <formula>$C19&lt;$E$3</formula>
    </cfRule>
  </conditionalFormatting>
  <conditionalFormatting sqref="K19">
    <cfRule type="expression" dxfId="1812" priority="605">
      <formula>$C19=$E$3</formula>
    </cfRule>
    <cfRule type="expression" dxfId="1811" priority="606">
      <formula>$C19&lt;$E$3</formula>
    </cfRule>
    <cfRule type="cellIs" dxfId="1810" priority="607" operator="equal">
      <formula>0</formula>
    </cfRule>
    <cfRule type="expression" dxfId="1809" priority="608">
      <formula>$C19&gt;$E$3</formula>
    </cfRule>
  </conditionalFormatting>
  <conditionalFormatting sqref="K19">
    <cfRule type="expression" dxfId="1808" priority="604">
      <formula>$C19&lt;$E$3</formula>
    </cfRule>
  </conditionalFormatting>
  <conditionalFormatting sqref="K19">
    <cfRule type="expression" dxfId="1807" priority="600">
      <formula>$C19=$E$3</formula>
    </cfRule>
    <cfRule type="expression" dxfId="1806" priority="601">
      <formula>$C19&lt;$E$3</formula>
    </cfRule>
    <cfRule type="cellIs" dxfId="1805" priority="602" operator="equal">
      <formula>0</formula>
    </cfRule>
    <cfRule type="expression" dxfId="1804" priority="603">
      <formula>$C19&gt;$E$3</formula>
    </cfRule>
  </conditionalFormatting>
  <conditionalFormatting sqref="K19">
    <cfRule type="expression" dxfId="1803" priority="599">
      <formula>$E19=""</formula>
    </cfRule>
  </conditionalFormatting>
  <conditionalFormatting sqref="K19">
    <cfRule type="expression" dxfId="1802" priority="598">
      <formula>$C19&lt;$E$3</formula>
    </cfRule>
  </conditionalFormatting>
  <conditionalFormatting sqref="K19">
    <cfRule type="expression" dxfId="1801" priority="597">
      <formula>$E19=""</formula>
    </cfRule>
  </conditionalFormatting>
  <conditionalFormatting sqref="K19">
    <cfRule type="expression" dxfId="1800" priority="596">
      <formula>$E19=""</formula>
    </cfRule>
  </conditionalFormatting>
  <conditionalFormatting sqref="K19">
    <cfRule type="expression" dxfId="1799" priority="595">
      <formula>$C19&lt;$E$3</formula>
    </cfRule>
  </conditionalFormatting>
  <conditionalFormatting sqref="K19">
    <cfRule type="expression" dxfId="1798" priority="594">
      <formula>$E19=""</formula>
    </cfRule>
  </conditionalFormatting>
  <conditionalFormatting sqref="K19">
    <cfRule type="expression" dxfId="1797" priority="593">
      <formula>$C19&lt;$E$3</formula>
    </cfRule>
  </conditionalFormatting>
  <conditionalFormatting sqref="K19">
    <cfRule type="expression" dxfId="1796" priority="592">
      <formula>$E19=""</formula>
    </cfRule>
  </conditionalFormatting>
  <conditionalFormatting sqref="K19">
    <cfRule type="expression" dxfId="1795" priority="591">
      <formula>$C19&lt;$E$3</formula>
    </cfRule>
  </conditionalFormatting>
  <conditionalFormatting sqref="K19">
    <cfRule type="expression" dxfId="1794" priority="590">
      <formula>$E19=""</formula>
    </cfRule>
  </conditionalFormatting>
  <conditionalFormatting sqref="K19">
    <cfRule type="expression" dxfId="1793" priority="589">
      <formula>$C19&lt;$E$3</formula>
    </cfRule>
  </conditionalFormatting>
  <conditionalFormatting sqref="K19">
    <cfRule type="expression" dxfId="1792" priority="585">
      <formula>$C19=$E$3</formula>
    </cfRule>
    <cfRule type="expression" dxfId="1791" priority="586">
      <formula>$C19&lt;$E$3</formula>
    </cfRule>
    <cfRule type="cellIs" dxfId="1790" priority="587" operator="equal">
      <formula>0</formula>
    </cfRule>
    <cfRule type="expression" dxfId="1789" priority="588">
      <formula>$C19&gt;$E$3</formula>
    </cfRule>
  </conditionalFormatting>
  <conditionalFormatting sqref="K19">
    <cfRule type="expression" dxfId="1788" priority="584">
      <formula>$C19&lt;$E$3</formula>
    </cfRule>
  </conditionalFormatting>
  <conditionalFormatting sqref="K19">
    <cfRule type="expression" dxfId="1787" priority="580">
      <formula>$C19=$E$3</formula>
    </cfRule>
    <cfRule type="expression" dxfId="1786" priority="581">
      <formula>$C19&lt;$E$3</formula>
    </cfRule>
    <cfRule type="cellIs" dxfId="1785" priority="582" operator="equal">
      <formula>0</formula>
    </cfRule>
    <cfRule type="expression" dxfId="1784" priority="583">
      <formula>$C19&gt;$E$3</formula>
    </cfRule>
  </conditionalFormatting>
  <conditionalFormatting sqref="K19">
    <cfRule type="expression" dxfId="1783" priority="579">
      <formula>$C19&lt;$E$3</formula>
    </cfRule>
  </conditionalFormatting>
  <conditionalFormatting sqref="K19">
    <cfRule type="expression" dxfId="1782" priority="575">
      <formula>$C19=$E$3</formula>
    </cfRule>
    <cfRule type="expression" dxfId="1781" priority="576">
      <formula>$C19&lt;$E$3</formula>
    </cfRule>
    <cfRule type="cellIs" dxfId="1780" priority="577" operator="equal">
      <formula>0</formula>
    </cfRule>
    <cfRule type="expression" dxfId="1779" priority="578">
      <formula>$C19&gt;$E$3</formula>
    </cfRule>
  </conditionalFormatting>
  <conditionalFormatting sqref="K19">
    <cfRule type="expression" dxfId="1778" priority="574">
      <formula>$C19&lt;$E$3</formula>
    </cfRule>
  </conditionalFormatting>
  <conditionalFormatting sqref="K19">
    <cfRule type="expression" dxfId="1777" priority="570">
      <formula>$C19=$E$3</formula>
    </cfRule>
    <cfRule type="expression" dxfId="1776" priority="571">
      <formula>$C19&lt;$E$3</formula>
    </cfRule>
    <cfRule type="cellIs" dxfId="1775" priority="572" operator="equal">
      <formula>0</formula>
    </cfRule>
    <cfRule type="expression" dxfId="1774" priority="573">
      <formula>$C19&gt;$E$3</formula>
    </cfRule>
  </conditionalFormatting>
  <conditionalFormatting sqref="K19">
    <cfRule type="expression" dxfId="1773" priority="569">
      <formula>$E19=""</formula>
    </cfRule>
  </conditionalFormatting>
  <conditionalFormatting sqref="K19">
    <cfRule type="expression" dxfId="1772" priority="568">
      <formula>$C19&lt;$E$3</formula>
    </cfRule>
  </conditionalFormatting>
  <conditionalFormatting sqref="K19">
    <cfRule type="expression" dxfId="1771" priority="567">
      <formula>$E19=""</formula>
    </cfRule>
  </conditionalFormatting>
  <conditionalFormatting sqref="K19">
    <cfRule type="expression" dxfId="1770" priority="566">
      <formula>$E19=""</formula>
    </cfRule>
  </conditionalFormatting>
  <conditionalFormatting sqref="K19">
    <cfRule type="expression" dxfId="1769" priority="565">
      <formula>$C19&lt;$E$3</formula>
    </cfRule>
  </conditionalFormatting>
  <conditionalFormatting sqref="K19">
    <cfRule type="expression" dxfId="1768" priority="564">
      <formula>$E19=""</formula>
    </cfRule>
  </conditionalFormatting>
  <conditionalFormatting sqref="K19">
    <cfRule type="expression" dxfId="1767" priority="563">
      <formula>$C19&lt;$E$3</formula>
    </cfRule>
  </conditionalFormatting>
  <conditionalFormatting sqref="K19">
    <cfRule type="expression" dxfId="1766" priority="562">
      <formula>$E19=""</formula>
    </cfRule>
  </conditionalFormatting>
  <conditionalFormatting sqref="K19">
    <cfRule type="expression" dxfId="1765" priority="561">
      <formula>$C19&lt;$E$3</formula>
    </cfRule>
  </conditionalFormatting>
  <conditionalFormatting sqref="K19">
    <cfRule type="expression" dxfId="1764" priority="560">
      <formula>$E19=""</formula>
    </cfRule>
  </conditionalFormatting>
  <conditionalFormatting sqref="K14:K18">
    <cfRule type="expression" dxfId="1763" priority="559">
      <formula>$C14&lt;$E$3</formula>
    </cfRule>
  </conditionalFormatting>
  <conditionalFormatting sqref="K14:K18">
    <cfRule type="expression" dxfId="1762" priority="555">
      <formula>$C14=$E$3</formula>
    </cfRule>
    <cfRule type="expression" dxfId="1761" priority="556">
      <formula>$C14&lt;$E$3</formula>
    </cfRule>
    <cfRule type="cellIs" dxfId="1760" priority="557" operator="equal">
      <formula>0</formula>
    </cfRule>
    <cfRule type="expression" dxfId="1759" priority="558">
      <formula>$C14&gt;$E$3</formula>
    </cfRule>
  </conditionalFormatting>
  <conditionalFormatting sqref="K14:K18">
    <cfRule type="expression" dxfId="1758" priority="554">
      <formula>$C14&lt;$E$3</formula>
    </cfRule>
  </conditionalFormatting>
  <conditionalFormatting sqref="K14:K18">
    <cfRule type="expression" dxfId="1757" priority="550">
      <formula>$C14=$E$3</formula>
    </cfRule>
    <cfRule type="expression" dxfId="1756" priority="551">
      <formula>$C14&lt;$E$3</formula>
    </cfRule>
    <cfRule type="cellIs" dxfId="1755" priority="552" operator="equal">
      <formula>0</formula>
    </cfRule>
    <cfRule type="expression" dxfId="1754" priority="553">
      <formula>$C14&gt;$E$3</formula>
    </cfRule>
  </conditionalFormatting>
  <conditionalFormatting sqref="K14:K18">
    <cfRule type="expression" dxfId="1753" priority="549">
      <formula>$C14&lt;$E$3</formula>
    </cfRule>
  </conditionalFormatting>
  <conditionalFormatting sqref="K14:K18">
    <cfRule type="expression" dxfId="1752" priority="545">
      <formula>$C14=$E$3</formula>
    </cfRule>
    <cfRule type="expression" dxfId="1751" priority="546">
      <formula>$C14&lt;$E$3</formula>
    </cfRule>
    <cfRule type="cellIs" dxfId="1750" priority="547" operator="equal">
      <formula>0</formula>
    </cfRule>
    <cfRule type="expression" dxfId="1749" priority="548">
      <formula>$C14&gt;$E$3</formula>
    </cfRule>
  </conditionalFormatting>
  <conditionalFormatting sqref="K14:K18">
    <cfRule type="expression" dxfId="1748" priority="544">
      <formula>$C14&lt;$E$3</formula>
    </cfRule>
  </conditionalFormatting>
  <conditionalFormatting sqref="K14:K18">
    <cfRule type="expression" dxfId="1747" priority="540">
      <formula>$C14=$E$3</formula>
    </cfRule>
    <cfRule type="expression" dxfId="1746" priority="541">
      <formula>$C14&lt;$E$3</formula>
    </cfRule>
    <cfRule type="cellIs" dxfId="1745" priority="542" operator="equal">
      <formula>0</formula>
    </cfRule>
    <cfRule type="expression" dxfId="1744" priority="543">
      <formula>$C14&gt;$E$3</formula>
    </cfRule>
  </conditionalFormatting>
  <conditionalFormatting sqref="K14:K18">
    <cfRule type="expression" dxfId="1743" priority="539">
      <formula>$E14=""</formula>
    </cfRule>
  </conditionalFormatting>
  <conditionalFormatting sqref="K14:K18">
    <cfRule type="expression" dxfId="1742" priority="538">
      <formula>$C14&lt;$E$3</formula>
    </cfRule>
  </conditionalFormatting>
  <conditionalFormatting sqref="K14:K18">
    <cfRule type="expression" dxfId="1741" priority="537">
      <formula>$E14=""</formula>
    </cfRule>
  </conditionalFormatting>
  <conditionalFormatting sqref="K14:K18">
    <cfRule type="expression" dxfId="1740" priority="536">
      <formula>$E14=""</formula>
    </cfRule>
  </conditionalFormatting>
  <conditionalFormatting sqref="K14:K18">
    <cfRule type="expression" dxfId="1739" priority="535">
      <formula>$C14&lt;$E$3</formula>
    </cfRule>
  </conditionalFormatting>
  <conditionalFormatting sqref="K14:K18">
    <cfRule type="expression" dxfId="1738" priority="534">
      <formula>$E14=""</formula>
    </cfRule>
  </conditionalFormatting>
  <conditionalFormatting sqref="K14:K18">
    <cfRule type="expression" dxfId="1737" priority="533">
      <formula>$C14&lt;$E$3</formula>
    </cfRule>
  </conditionalFormatting>
  <conditionalFormatting sqref="K14:K18">
    <cfRule type="expression" dxfId="1736" priority="532">
      <formula>$E14=""</formula>
    </cfRule>
  </conditionalFormatting>
  <conditionalFormatting sqref="K14:K18">
    <cfRule type="expression" dxfId="1735" priority="531">
      <formula>$C14&lt;$E$3</formula>
    </cfRule>
  </conditionalFormatting>
  <conditionalFormatting sqref="K14:K18">
    <cfRule type="expression" dxfId="1734" priority="530">
      <formula>$E14=""</formula>
    </cfRule>
  </conditionalFormatting>
  <conditionalFormatting sqref="K14:K18">
    <cfRule type="expression" dxfId="1733" priority="529">
      <formula>$C14&lt;$E$3</formula>
    </cfRule>
  </conditionalFormatting>
  <conditionalFormatting sqref="K14:K18">
    <cfRule type="expression" dxfId="1732" priority="525">
      <formula>$C14=$E$3</formula>
    </cfRule>
    <cfRule type="expression" dxfId="1731" priority="526">
      <formula>$C14&lt;$E$3</formula>
    </cfRule>
    <cfRule type="cellIs" dxfId="1730" priority="527" operator="equal">
      <formula>0</formula>
    </cfRule>
    <cfRule type="expression" dxfId="1729" priority="528">
      <formula>$C14&gt;$E$3</formula>
    </cfRule>
  </conditionalFormatting>
  <conditionalFormatting sqref="K14:K18">
    <cfRule type="expression" dxfId="1728" priority="524">
      <formula>$C14&lt;$E$3</formula>
    </cfRule>
  </conditionalFormatting>
  <conditionalFormatting sqref="K14:K18">
    <cfRule type="expression" dxfId="1727" priority="520">
      <formula>$C14=$E$3</formula>
    </cfRule>
    <cfRule type="expression" dxfId="1726" priority="521">
      <formula>$C14&lt;$E$3</formula>
    </cfRule>
    <cfRule type="cellIs" dxfId="1725" priority="522" operator="equal">
      <formula>0</formula>
    </cfRule>
    <cfRule type="expression" dxfId="1724" priority="523">
      <formula>$C14&gt;$E$3</formula>
    </cfRule>
  </conditionalFormatting>
  <conditionalFormatting sqref="K14:K18">
    <cfRule type="expression" dxfId="1723" priority="519">
      <formula>$C14&lt;$E$3</formula>
    </cfRule>
  </conditionalFormatting>
  <conditionalFormatting sqref="K14:K18">
    <cfRule type="expression" dxfId="1722" priority="515">
      <formula>$C14=$E$3</formula>
    </cfRule>
    <cfRule type="expression" dxfId="1721" priority="516">
      <formula>$C14&lt;$E$3</formula>
    </cfRule>
    <cfRule type="cellIs" dxfId="1720" priority="517" operator="equal">
      <formula>0</formula>
    </cfRule>
    <cfRule type="expression" dxfId="1719" priority="518">
      <formula>$C14&gt;$E$3</formula>
    </cfRule>
  </conditionalFormatting>
  <conditionalFormatting sqref="K14:K18">
    <cfRule type="expression" dxfId="1718" priority="514">
      <formula>$C14&lt;$E$3</formula>
    </cfRule>
  </conditionalFormatting>
  <conditionalFormatting sqref="K14:K18">
    <cfRule type="expression" dxfId="1717" priority="510">
      <formula>$C14=$E$3</formula>
    </cfRule>
    <cfRule type="expression" dxfId="1716" priority="511">
      <formula>$C14&lt;$E$3</formula>
    </cfRule>
    <cfRule type="cellIs" dxfId="1715" priority="512" operator="equal">
      <formula>0</formula>
    </cfRule>
    <cfRule type="expression" dxfId="1714" priority="513">
      <formula>$C14&gt;$E$3</formula>
    </cfRule>
  </conditionalFormatting>
  <conditionalFormatting sqref="K14:K18">
    <cfRule type="expression" dxfId="1713" priority="509">
      <formula>$E14=""</formula>
    </cfRule>
  </conditionalFormatting>
  <conditionalFormatting sqref="K14:K18">
    <cfRule type="expression" dxfId="1712" priority="508">
      <formula>$C14&lt;$E$3</formula>
    </cfRule>
  </conditionalFormatting>
  <conditionalFormatting sqref="K14:K18">
    <cfRule type="expression" dxfId="1711" priority="507">
      <formula>$E14=""</formula>
    </cfRule>
  </conditionalFormatting>
  <conditionalFormatting sqref="K14:K18">
    <cfRule type="expression" dxfId="1710" priority="506">
      <formula>$E14=""</formula>
    </cfRule>
  </conditionalFormatting>
  <conditionalFormatting sqref="K14:K18">
    <cfRule type="expression" dxfId="1709" priority="505">
      <formula>$C14&lt;$E$3</formula>
    </cfRule>
  </conditionalFormatting>
  <conditionalFormatting sqref="K14:K18">
    <cfRule type="expression" dxfId="1708" priority="504">
      <formula>$E14=""</formula>
    </cfRule>
  </conditionalFormatting>
  <conditionalFormatting sqref="K14:K18">
    <cfRule type="expression" dxfId="1707" priority="503">
      <formula>$C14&lt;$E$3</formula>
    </cfRule>
  </conditionalFormatting>
  <conditionalFormatting sqref="K14:K18">
    <cfRule type="expression" dxfId="1706" priority="502">
      <formula>$E14=""</formula>
    </cfRule>
  </conditionalFormatting>
  <conditionalFormatting sqref="K14:K18">
    <cfRule type="expression" dxfId="1705" priority="501">
      <formula>$C14&lt;$E$3</formula>
    </cfRule>
  </conditionalFormatting>
  <conditionalFormatting sqref="K14:K18">
    <cfRule type="expression" dxfId="1704" priority="500">
      <formula>$E14=""</formula>
    </cfRule>
  </conditionalFormatting>
  <conditionalFormatting sqref="K14:K20">
    <cfRule type="expression" dxfId="1703" priority="498">
      <formula>$C14&lt;$E$3</formula>
    </cfRule>
  </conditionalFormatting>
  <conditionalFormatting sqref="K14:K20">
    <cfRule type="expression" dxfId="1702" priority="495">
      <formula>$C14=$E$3</formula>
    </cfRule>
    <cfRule type="expression" dxfId="1701" priority="496">
      <formula>$C14&lt;$E$3</formula>
    </cfRule>
    <cfRule type="cellIs" dxfId="1700" priority="497" operator="equal">
      <formula>0</formula>
    </cfRule>
    <cfRule type="expression" dxfId="1699" priority="499">
      <formula>$C14&gt;$E$3</formula>
    </cfRule>
  </conditionalFormatting>
  <conditionalFormatting sqref="K14:K20">
    <cfRule type="expression" dxfId="1698" priority="494">
      <formula>$E14=""</formula>
    </cfRule>
  </conditionalFormatting>
  <conditionalFormatting sqref="K14:K20">
    <cfRule type="expression" dxfId="1697" priority="493">
      <formula>$E14=""</formula>
    </cfRule>
  </conditionalFormatting>
  <conditionalFormatting sqref="K14:K20">
    <cfRule type="expression" dxfId="1696" priority="492">
      <formula>$E14=""</formula>
    </cfRule>
  </conditionalFormatting>
  <conditionalFormatting sqref="K23:K29">
    <cfRule type="cellIs" dxfId="1695" priority="491" stopIfTrue="1" operator="lessThan">
      <formula>0</formula>
    </cfRule>
  </conditionalFormatting>
  <conditionalFormatting sqref="K23:K29">
    <cfRule type="expression" dxfId="1694" priority="489">
      <formula>$C23&lt;$E$3</formula>
    </cfRule>
  </conditionalFormatting>
  <conditionalFormatting sqref="K23:K29">
    <cfRule type="expression" dxfId="1693" priority="486">
      <formula>$C23=$E$3</formula>
    </cfRule>
    <cfRule type="expression" dxfId="1692" priority="487">
      <formula>$C23&lt;$E$3</formula>
    </cfRule>
    <cfRule type="cellIs" dxfId="1691" priority="488" operator="equal">
      <formula>0</formula>
    </cfRule>
    <cfRule type="expression" dxfId="1690" priority="490">
      <formula>$C23&gt;$E$3</formula>
    </cfRule>
  </conditionalFormatting>
  <conditionalFormatting sqref="K23:K29">
    <cfRule type="expression" dxfId="1689" priority="485">
      <formula>$E23=""</formula>
    </cfRule>
  </conditionalFormatting>
  <conditionalFormatting sqref="K23:K29">
    <cfRule type="expression" dxfId="1688" priority="484">
      <formula>$E23=""</formula>
    </cfRule>
  </conditionalFormatting>
  <conditionalFormatting sqref="K23:K29">
    <cfRule type="expression" dxfId="1687" priority="483">
      <formula>$E23=""</formula>
    </cfRule>
  </conditionalFormatting>
  <conditionalFormatting sqref="K28">
    <cfRule type="expression" dxfId="1686" priority="482">
      <formula>$C28&lt;$E$3</formula>
    </cfRule>
  </conditionalFormatting>
  <conditionalFormatting sqref="K28">
    <cfRule type="expression" dxfId="1685" priority="478">
      <formula>$C28=$E$3</formula>
    </cfRule>
    <cfRule type="expression" dxfId="1684" priority="479">
      <formula>$C28&lt;$E$3</formula>
    </cfRule>
    <cfRule type="cellIs" dxfId="1683" priority="480" operator="equal">
      <formula>0</formula>
    </cfRule>
    <cfRule type="expression" dxfId="1682" priority="481">
      <formula>$C28&gt;$E$3</formula>
    </cfRule>
  </conditionalFormatting>
  <conditionalFormatting sqref="K28">
    <cfRule type="expression" dxfId="1681" priority="477">
      <formula>$C28&lt;$E$3</formula>
    </cfRule>
  </conditionalFormatting>
  <conditionalFormatting sqref="K28">
    <cfRule type="expression" dxfId="1680" priority="473">
      <formula>$C28=$E$3</formula>
    </cfRule>
    <cfRule type="expression" dxfId="1679" priority="474">
      <formula>$C28&lt;$E$3</formula>
    </cfRule>
    <cfRule type="cellIs" dxfId="1678" priority="475" operator="equal">
      <formula>0</formula>
    </cfRule>
    <cfRule type="expression" dxfId="1677" priority="476">
      <formula>$C28&gt;$E$3</formula>
    </cfRule>
  </conditionalFormatting>
  <conditionalFormatting sqref="K28">
    <cfRule type="expression" dxfId="1676" priority="472">
      <formula>$C28&lt;$E$3</formula>
    </cfRule>
  </conditionalFormatting>
  <conditionalFormatting sqref="K28">
    <cfRule type="expression" dxfId="1675" priority="468">
      <formula>$C28=$E$3</formula>
    </cfRule>
    <cfRule type="expression" dxfId="1674" priority="469">
      <formula>$C28&lt;$E$3</formula>
    </cfRule>
    <cfRule type="cellIs" dxfId="1673" priority="470" operator="equal">
      <formula>0</formula>
    </cfRule>
    <cfRule type="expression" dxfId="1672" priority="471">
      <formula>$C28&gt;$E$3</formula>
    </cfRule>
  </conditionalFormatting>
  <conditionalFormatting sqref="K28">
    <cfRule type="expression" dxfId="1671" priority="467">
      <formula>$C28&lt;$E$3</formula>
    </cfRule>
  </conditionalFormatting>
  <conditionalFormatting sqref="K28">
    <cfRule type="expression" dxfId="1670" priority="463">
      <formula>$C28=$E$3</formula>
    </cfRule>
    <cfRule type="expression" dxfId="1669" priority="464">
      <formula>$C28&lt;$E$3</formula>
    </cfRule>
    <cfRule type="cellIs" dxfId="1668" priority="465" operator="equal">
      <formula>0</formula>
    </cfRule>
    <cfRule type="expression" dxfId="1667" priority="466">
      <formula>$C28&gt;$E$3</formula>
    </cfRule>
  </conditionalFormatting>
  <conditionalFormatting sqref="K28">
    <cfRule type="expression" dxfId="1666" priority="462">
      <formula>$E28=""</formula>
    </cfRule>
  </conditionalFormatting>
  <conditionalFormatting sqref="K28">
    <cfRule type="expression" dxfId="1665" priority="461">
      <formula>$C28&lt;$E$3</formula>
    </cfRule>
  </conditionalFormatting>
  <conditionalFormatting sqref="K28">
    <cfRule type="expression" dxfId="1664" priority="460">
      <formula>$E28=""</formula>
    </cfRule>
  </conditionalFormatting>
  <conditionalFormatting sqref="K28">
    <cfRule type="expression" dxfId="1663" priority="459">
      <formula>$E28=""</formula>
    </cfRule>
  </conditionalFormatting>
  <conditionalFormatting sqref="K28">
    <cfRule type="expression" dxfId="1662" priority="458">
      <formula>$C28&lt;$E$3</formula>
    </cfRule>
  </conditionalFormatting>
  <conditionalFormatting sqref="K28">
    <cfRule type="expression" dxfId="1661" priority="457">
      <formula>$E28=""</formula>
    </cfRule>
  </conditionalFormatting>
  <conditionalFormatting sqref="K28">
    <cfRule type="expression" dxfId="1660" priority="456">
      <formula>$C28&lt;$E$3</formula>
    </cfRule>
  </conditionalFormatting>
  <conditionalFormatting sqref="K28">
    <cfRule type="expression" dxfId="1659" priority="455">
      <formula>$E28=""</formula>
    </cfRule>
  </conditionalFormatting>
  <conditionalFormatting sqref="K28">
    <cfRule type="expression" dxfId="1658" priority="454">
      <formula>$C28&lt;$E$3</formula>
    </cfRule>
  </conditionalFormatting>
  <conditionalFormatting sqref="K28">
    <cfRule type="expression" dxfId="1657" priority="453">
      <formula>$E28=""</formula>
    </cfRule>
  </conditionalFormatting>
  <conditionalFormatting sqref="K28">
    <cfRule type="expression" dxfId="1656" priority="452">
      <formula>$C28&lt;$E$3</formula>
    </cfRule>
  </conditionalFormatting>
  <conditionalFormatting sqref="K28">
    <cfRule type="expression" dxfId="1655" priority="448">
      <formula>$C28=$E$3</formula>
    </cfRule>
    <cfRule type="expression" dxfId="1654" priority="449">
      <formula>$C28&lt;$E$3</formula>
    </cfRule>
    <cfRule type="cellIs" dxfId="1653" priority="450" operator="equal">
      <formula>0</formula>
    </cfRule>
    <cfRule type="expression" dxfId="1652" priority="451">
      <formula>$C28&gt;$E$3</formula>
    </cfRule>
  </conditionalFormatting>
  <conditionalFormatting sqref="K28">
    <cfRule type="expression" dxfId="1651" priority="447">
      <formula>$C28&lt;$E$3</formula>
    </cfRule>
  </conditionalFormatting>
  <conditionalFormatting sqref="K28">
    <cfRule type="expression" dxfId="1650" priority="443">
      <formula>$C28=$E$3</formula>
    </cfRule>
    <cfRule type="expression" dxfId="1649" priority="444">
      <formula>$C28&lt;$E$3</formula>
    </cfRule>
    <cfRule type="cellIs" dxfId="1648" priority="445" operator="equal">
      <formula>0</formula>
    </cfRule>
    <cfRule type="expression" dxfId="1647" priority="446">
      <formula>$C28&gt;$E$3</formula>
    </cfRule>
  </conditionalFormatting>
  <conditionalFormatting sqref="K28">
    <cfRule type="expression" dxfId="1646" priority="442">
      <formula>$C28&lt;$E$3</formula>
    </cfRule>
  </conditionalFormatting>
  <conditionalFormatting sqref="K28">
    <cfRule type="expression" dxfId="1645" priority="438">
      <formula>$C28=$E$3</formula>
    </cfRule>
    <cfRule type="expression" dxfId="1644" priority="439">
      <formula>$C28&lt;$E$3</formula>
    </cfRule>
    <cfRule type="cellIs" dxfId="1643" priority="440" operator="equal">
      <formula>0</formula>
    </cfRule>
    <cfRule type="expression" dxfId="1642" priority="441">
      <formula>$C28&gt;$E$3</formula>
    </cfRule>
  </conditionalFormatting>
  <conditionalFormatting sqref="K28">
    <cfRule type="expression" dxfId="1641" priority="437">
      <formula>$C28&lt;$E$3</formula>
    </cfRule>
  </conditionalFormatting>
  <conditionalFormatting sqref="K28">
    <cfRule type="expression" dxfId="1640" priority="433">
      <formula>$C28=$E$3</formula>
    </cfRule>
    <cfRule type="expression" dxfId="1639" priority="434">
      <formula>$C28&lt;$E$3</formula>
    </cfRule>
    <cfRule type="cellIs" dxfId="1638" priority="435" operator="equal">
      <formula>0</formula>
    </cfRule>
    <cfRule type="expression" dxfId="1637" priority="436">
      <formula>$C28&gt;$E$3</formula>
    </cfRule>
  </conditionalFormatting>
  <conditionalFormatting sqref="K28">
    <cfRule type="expression" dxfId="1636" priority="432">
      <formula>$E28=""</formula>
    </cfRule>
  </conditionalFormatting>
  <conditionalFormatting sqref="K28">
    <cfRule type="expression" dxfId="1635" priority="431">
      <formula>$C28&lt;$E$3</formula>
    </cfRule>
  </conditionalFormatting>
  <conditionalFormatting sqref="K28">
    <cfRule type="expression" dxfId="1634" priority="430">
      <formula>$E28=""</formula>
    </cfRule>
  </conditionalFormatting>
  <conditionalFormatting sqref="K28">
    <cfRule type="expression" dxfId="1633" priority="429">
      <formula>$E28=""</formula>
    </cfRule>
  </conditionalFormatting>
  <conditionalFormatting sqref="K28">
    <cfRule type="expression" dxfId="1632" priority="428">
      <formula>$C28&lt;$E$3</formula>
    </cfRule>
  </conditionalFormatting>
  <conditionalFormatting sqref="K28">
    <cfRule type="expression" dxfId="1631" priority="427">
      <formula>$E28=""</formula>
    </cfRule>
  </conditionalFormatting>
  <conditionalFormatting sqref="K28">
    <cfRule type="expression" dxfId="1630" priority="426">
      <formula>$C28&lt;$E$3</formula>
    </cfRule>
  </conditionalFormatting>
  <conditionalFormatting sqref="K28">
    <cfRule type="expression" dxfId="1629" priority="425">
      <formula>$E28=""</formula>
    </cfRule>
  </conditionalFormatting>
  <conditionalFormatting sqref="K28">
    <cfRule type="expression" dxfId="1628" priority="424">
      <formula>$C28&lt;$E$3</formula>
    </cfRule>
  </conditionalFormatting>
  <conditionalFormatting sqref="K28">
    <cfRule type="expression" dxfId="1627" priority="423">
      <formula>$E28=""</formula>
    </cfRule>
  </conditionalFormatting>
  <conditionalFormatting sqref="K23:K27">
    <cfRule type="expression" dxfId="1626" priority="422">
      <formula>$C23&lt;$E$3</formula>
    </cfRule>
  </conditionalFormatting>
  <conditionalFormatting sqref="K23:K27">
    <cfRule type="expression" dxfId="1625" priority="418">
      <formula>$C23=$E$3</formula>
    </cfRule>
    <cfRule type="expression" dxfId="1624" priority="419">
      <formula>$C23&lt;$E$3</formula>
    </cfRule>
    <cfRule type="cellIs" dxfId="1623" priority="420" operator="equal">
      <formula>0</formula>
    </cfRule>
    <cfRule type="expression" dxfId="1622" priority="421">
      <formula>$C23&gt;$E$3</formula>
    </cfRule>
  </conditionalFormatting>
  <conditionalFormatting sqref="K23:K27">
    <cfRule type="expression" dxfId="1621" priority="417">
      <formula>$C23&lt;$E$3</formula>
    </cfRule>
  </conditionalFormatting>
  <conditionalFormatting sqref="K23:K27">
    <cfRule type="expression" dxfId="1620" priority="413">
      <formula>$C23=$E$3</formula>
    </cfRule>
    <cfRule type="expression" dxfId="1619" priority="414">
      <formula>$C23&lt;$E$3</formula>
    </cfRule>
    <cfRule type="cellIs" dxfId="1618" priority="415" operator="equal">
      <formula>0</formula>
    </cfRule>
    <cfRule type="expression" dxfId="1617" priority="416">
      <formula>$C23&gt;$E$3</formula>
    </cfRule>
  </conditionalFormatting>
  <conditionalFormatting sqref="K23:K27">
    <cfRule type="expression" dxfId="1616" priority="412">
      <formula>$C23&lt;$E$3</formula>
    </cfRule>
  </conditionalFormatting>
  <conditionalFormatting sqref="K23:K27">
    <cfRule type="expression" dxfId="1615" priority="408">
      <formula>$C23=$E$3</formula>
    </cfRule>
    <cfRule type="expression" dxfId="1614" priority="409">
      <formula>$C23&lt;$E$3</formula>
    </cfRule>
    <cfRule type="cellIs" dxfId="1613" priority="410" operator="equal">
      <formula>0</formula>
    </cfRule>
    <cfRule type="expression" dxfId="1612" priority="411">
      <formula>$C23&gt;$E$3</formula>
    </cfRule>
  </conditionalFormatting>
  <conditionalFormatting sqref="K23:K27">
    <cfRule type="expression" dxfId="1611" priority="407">
      <formula>$C23&lt;$E$3</formula>
    </cfRule>
  </conditionalFormatting>
  <conditionalFormatting sqref="K23:K27">
    <cfRule type="expression" dxfId="1610" priority="403">
      <formula>$C23=$E$3</formula>
    </cfRule>
    <cfRule type="expression" dxfId="1609" priority="404">
      <formula>$C23&lt;$E$3</formula>
    </cfRule>
    <cfRule type="cellIs" dxfId="1608" priority="405" operator="equal">
      <formula>0</formula>
    </cfRule>
    <cfRule type="expression" dxfId="1607" priority="406">
      <formula>$C23&gt;$E$3</formula>
    </cfRule>
  </conditionalFormatting>
  <conditionalFormatting sqref="K23:K27">
    <cfRule type="expression" dxfId="1606" priority="402">
      <formula>$E23=""</formula>
    </cfRule>
  </conditionalFormatting>
  <conditionalFormatting sqref="K23:K27">
    <cfRule type="expression" dxfId="1605" priority="401">
      <formula>$C23&lt;$E$3</formula>
    </cfRule>
  </conditionalFormatting>
  <conditionalFormatting sqref="K23:K27">
    <cfRule type="expression" dxfId="1604" priority="400">
      <formula>$E23=""</formula>
    </cfRule>
  </conditionalFormatting>
  <conditionalFormatting sqref="K23:K27">
    <cfRule type="expression" dxfId="1603" priority="399">
      <formula>$E23=""</formula>
    </cfRule>
  </conditionalFormatting>
  <conditionalFormatting sqref="K23:K27">
    <cfRule type="expression" dxfId="1602" priority="398">
      <formula>$C23&lt;$E$3</formula>
    </cfRule>
  </conditionalFormatting>
  <conditionalFormatting sqref="K23:K27">
    <cfRule type="expression" dxfId="1601" priority="397">
      <formula>$E23=""</formula>
    </cfRule>
  </conditionalFormatting>
  <conditionalFormatting sqref="K23:K27">
    <cfRule type="expression" dxfId="1600" priority="396">
      <formula>$C23&lt;$E$3</formula>
    </cfRule>
  </conditionalFormatting>
  <conditionalFormatting sqref="K23:K27">
    <cfRule type="expression" dxfId="1599" priority="395">
      <formula>$E23=""</formula>
    </cfRule>
  </conditionalFormatting>
  <conditionalFormatting sqref="K23:K27">
    <cfRule type="expression" dxfId="1598" priority="394">
      <formula>$C23&lt;$E$3</formula>
    </cfRule>
  </conditionalFormatting>
  <conditionalFormatting sqref="K23:K27">
    <cfRule type="expression" dxfId="1597" priority="393">
      <formula>$E23=""</formula>
    </cfRule>
  </conditionalFormatting>
  <conditionalFormatting sqref="K23:K27">
    <cfRule type="expression" dxfId="1596" priority="392">
      <formula>$C23&lt;$E$3</formula>
    </cfRule>
  </conditionalFormatting>
  <conditionalFormatting sqref="K23:K27">
    <cfRule type="expression" dxfId="1595" priority="388">
      <formula>$C23=$E$3</formula>
    </cfRule>
    <cfRule type="expression" dxfId="1594" priority="389">
      <formula>$C23&lt;$E$3</formula>
    </cfRule>
    <cfRule type="cellIs" dxfId="1593" priority="390" operator="equal">
      <formula>0</formula>
    </cfRule>
    <cfRule type="expression" dxfId="1592" priority="391">
      <formula>$C23&gt;$E$3</formula>
    </cfRule>
  </conditionalFormatting>
  <conditionalFormatting sqref="K23:K27">
    <cfRule type="expression" dxfId="1591" priority="387">
      <formula>$C23&lt;$E$3</formula>
    </cfRule>
  </conditionalFormatting>
  <conditionalFormatting sqref="K23:K27">
    <cfRule type="expression" dxfId="1590" priority="383">
      <formula>$C23=$E$3</formula>
    </cfRule>
    <cfRule type="expression" dxfId="1589" priority="384">
      <formula>$C23&lt;$E$3</formula>
    </cfRule>
    <cfRule type="cellIs" dxfId="1588" priority="385" operator="equal">
      <formula>0</formula>
    </cfRule>
    <cfRule type="expression" dxfId="1587" priority="386">
      <formula>$C23&gt;$E$3</formula>
    </cfRule>
  </conditionalFormatting>
  <conditionalFormatting sqref="K23:K27">
    <cfRule type="expression" dxfId="1586" priority="382">
      <formula>$C23&lt;$E$3</formula>
    </cfRule>
  </conditionalFormatting>
  <conditionalFormatting sqref="K23:K27">
    <cfRule type="expression" dxfId="1585" priority="378">
      <formula>$C23=$E$3</formula>
    </cfRule>
    <cfRule type="expression" dxfId="1584" priority="379">
      <formula>$C23&lt;$E$3</formula>
    </cfRule>
    <cfRule type="cellIs" dxfId="1583" priority="380" operator="equal">
      <formula>0</formula>
    </cfRule>
    <cfRule type="expression" dxfId="1582" priority="381">
      <formula>$C23&gt;$E$3</formula>
    </cfRule>
  </conditionalFormatting>
  <conditionalFormatting sqref="K23:K27">
    <cfRule type="expression" dxfId="1581" priority="377">
      <formula>$C23&lt;$E$3</formula>
    </cfRule>
  </conditionalFormatting>
  <conditionalFormatting sqref="K23:K27">
    <cfRule type="expression" dxfId="1580" priority="373">
      <formula>$C23=$E$3</formula>
    </cfRule>
    <cfRule type="expression" dxfId="1579" priority="374">
      <formula>$C23&lt;$E$3</formula>
    </cfRule>
    <cfRule type="cellIs" dxfId="1578" priority="375" operator="equal">
      <formula>0</formula>
    </cfRule>
    <cfRule type="expression" dxfId="1577" priority="376">
      <formula>$C23&gt;$E$3</formula>
    </cfRule>
  </conditionalFormatting>
  <conditionalFormatting sqref="K23:K27">
    <cfRule type="expression" dxfId="1576" priority="372">
      <formula>$E23=""</formula>
    </cfRule>
  </conditionalFormatting>
  <conditionalFormatting sqref="K23:K27">
    <cfRule type="expression" dxfId="1575" priority="371">
      <formula>$C23&lt;$E$3</formula>
    </cfRule>
  </conditionalFormatting>
  <conditionalFormatting sqref="K23:K27">
    <cfRule type="expression" dxfId="1574" priority="370">
      <formula>$E23=""</formula>
    </cfRule>
  </conditionalFormatting>
  <conditionalFormatting sqref="K23:K27">
    <cfRule type="expression" dxfId="1573" priority="369">
      <formula>$E23=""</formula>
    </cfRule>
  </conditionalFormatting>
  <conditionalFormatting sqref="K23:K27">
    <cfRule type="expression" dxfId="1572" priority="368">
      <formula>$C23&lt;$E$3</formula>
    </cfRule>
  </conditionalFormatting>
  <conditionalFormatting sqref="K23:K27">
    <cfRule type="expression" dxfId="1571" priority="367">
      <formula>$E23=""</formula>
    </cfRule>
  </conditionalFormatting>
  <conditionalFormatting sqref="K23:K27">
    <cfRule type="expression" dxfId="1570" priority="366">
      <formula>$C23&lt;$E$3</formula>
    </cfRule>
  </conditionalFormatting>
  <conditionalFormatting sqref="K23:K27">
    <cfRule type="expression" dxfId="1569" priority="365">
      <formula>$E23=""</formula>
    </cfRule>
  </conditionalFormatting>
  <conditionalFormatting sqref="K23:K27">
    <cfRule type="expression" dxfId="1568" priority="364">
      <formula>$C23&lt;$E$3</formula>
    </cfRule>
  </conditionalFormatting>
  <conditionalFormatting sqref="K23:K27">
    <cfRule type="expression" dxfId="1567" priority="363">
      <formula>$E23=""</formula>
    </cfRule>
  </conditionalFormatting>
  <conditionalFormatting sqref="K23:K29">
    <cfRule type="expression" dxfId="1566" priority="361">
      <formula>$C23&lt;$E$3</formula>
    </cfRule>
  </conditionalFormatting>
  <conditionalFormatting sqref="K23:K29">
    <cfRule type="expression" dxfId="1565" priority="358">
      <formula>$C23=$E$3</formula>
    </cfRule>
    <cfRule type="expression" dxfId="1564" priority="359">
      <formula>$C23&lt;$E$3</formula>
    </cfRule>
    <cfRule type="cellIs" dxfId="1563" priority="360" operator="equal">
      <formula>0</formula>
    </cfRule>
    <cfRule type="expression" dxfId="1562" priority="362">
      <formula>$C23&gt;$E$3</formula>
    </cfRule>
  </conditionalFormatting>
  <conditionalFormatting sqref="K23:K29">
    <cfRule type="expression" dxfId="1561" priority="357">
      <formula>$E23=""</formula>
    </cfRule>
  </conditionalFormatting>
  <conditionalFormatting sqref="K23:K29">
    <cfRule type="expression" dxfId="1560" priority="356">
      <formula>$E23=""</formula>
    </cfRule>
  </conditionalFormatting>
  <conditionalFormatting sqref="K23:K29">
    <cfRule type="expression" dxfId="1559" priority="355">
      <formula>$E23=""</formula>
    </cfRule>
  </conditionalFormatting>
  <conditionalFormatting sqref="K32:K38">
    <cfRule type="cellIs" dxfId="1558" priority="354" stopIfTrue="1" operator="lessThan">
      <formula>0</formula>
    </cfRule>
  </conditionalFormatting>
  <conditionalFormatting sqref="K32:K38">
    <cfRule type="expression" dxfId="1557" priority="352">
      <formula>$C32&lt;$E$3</formula>
    </cfRule>
  </conditionalFormatting>
  <conditionalFormatting sqref="K32:K38">
    <cfRule type="expression" dxfId="1556" priority="349">
      <formula>$C32=$E$3</formula>
    </cfRule>
    <cfRule type="expression" dxfId="1555" priority="350">
      <formula>$C32&lt;$E$3</formula>
    </cfRule>
    <cfRule type="cellIs" dxfId="1554" priority="351" operator="equal">
      <formula>0</formula>
    </cfRule>
    <cfRule type="expression" dxfId="1553" priority="353">
      <formula>$C32&gt;$E$3</formula>
    </cfRule>
  </conditionalFormatting>
  <conditionalFormatting sqref="K32:K38">
    <cfRule type="expression" dxfId="1552" priority="348">
      <formula>$E32=""</formula>
    </cfRule>
  </conditionalFormatting>
  <conditionalFormatting sqref="K32:K38">
    <cfRule type="expression" dxfId="1551" priority="347">
      <formula>$E32=""</formula>
    </cfRule>
  </conditionalFormatting>
  <conditionalFormatting sqref="K32:K38">
    <cfRule type="expression" dxfId="1550" priority="346">
      <formula>$E32=""</formula>
    </cfRule>
  </conditionalFormatting>
  <conditionalFormatting sqref="K37">
    <cfRule type="expression" dxfId="1549" priority="345">
      <formula>$C37&lt;$E$3</formula>
    </cfRule>
  </conditionalFormatting>
  <conditionalFormatting sqref="K37">
    <cfRule type="expression" dxfId="1548" priority="341">
      <formula>$C37=$E$3</formula>
    </cfRule>
    <cfRule type="expression" dxfId="1547" priority="342">
      <formula>$C37&lt;$E$3</formula>
    </cfRule>
    <cfRule type="cellIs" dxfId="1546" priority="343" operator="equal">
      <formula>0</formula>
    </cfRule>
    <cfRule type="expression" dxfId="1545" priority="344">
      <formula>$C37&gt;$E$3</formula>
    </cfRule>
  </conditionalFormatting>
  <conditionalFormatting sqref="K37">
    <cfRule type="expression" dxfId="1544" priority="340">
      <formula>$C37&lt;$E$3</formula>
    </cfRule>
  </conditionalFormatting>
  <conditionalFormatting sqref="K37">
    <cfRule type="expression" dxfId="1543" priority="336">
      <formula>$C37=$E$3</formula>
    </cfRule>
    <cfRule type="expression" dxfId="1542" priority="337">
      <formula>$C37&lt;$E$3</formula>
    </cfRule>
    <cfRule type="cellIs" dxfId="1541" priority="338" operator="equal">
      <formula>0</formula>
    </cfRule>
    <cfRule type="expression" dxfId="1540" priority="339">
      <formula>$C37&gt;$E$3</formula>
    </cfRule>
  </conditionalFormatting>
  <conditionalFormatting sqref="K37">
    <cfRule type="expression" dxfId="1539" priority="325">
      <formula>$E37=""</formula>
    </cfRule>
  </conditionalFormatting>
  <conditionalFormatting sqref="K37">
    <cfRule type="expression" dxfId="1538" priority="324">
      <formula>$C37&lt;$E$3</formula>
    </cfRule>
  </conditionalFormatting>
  <conditionalFormatting sqref="K37">
    <cfRule type="expression" dxfId="1537" priority="323">
      <formula>$E37=""</formula>
    </cfRule>
  </conditionalFormatting>
  <conditionalFormatting sqref="K37">
    <cfRule type="expression" dxfId="1536" priority="322">
      <formula>$E37=""</formula>
    </cfRule>
  </conditionalFormatting>
  <conditionalFormatting sqref="K37">
    <cfRule type="expression" dxfId="1535" priority="321">
      <formula>$C37&lt;$E$3</formula>
    </cfRule>
  </conditionalFormatting>
  <conditionalFormatting sqref="K37">
    <cfRule type="expression" dxfId="1534" priority="320">
      <formula>$E37=""</formula>
    </cfRule>
  </conditionalFormatting>
  <conditionalFormatting sqref="K37">
    <cfRule type="expression" dxfId="1533" priority="319">
      <formula>$C37&lt;$E$3</formula>
    </cfRule>
  </conditionalFormatting>
  <conditionalFormatting sqref="K37">
    <cfRule type="expression" dxfId="1532" priority="318">
      <formula>$E37=""</formula>
    </cfRule>
  </conditionalFormatting>
  <conditionalFormatting sqref="K37">
    <cfRule type="expression" dxfId="1531" priority="317">
      <formula>$C37&lt;$E$3</formula>
    </cfRule>
  </conditionalFormatting>
  <conditionalFormatting sqref="K37">
    <cfRule type="expression" dxfId="1530" priority="316">
      <formula>$E37=""</formula>
    </cfRule>
  </conditionalFormatting>
  <conditionalFormatting sqref="K37">
    <cfRule type="expression" dxfId="1529" priority="315">
      <formula>$C37&lt;$E$3</formula>
    </cfRule>
  </conditionalFormatting>
  <conditionalFormatting sqref="K37">
    <cfRule type="expression" dxfId="1528" priority="311">
      <formula>$C37=$E$3</formula>
    </cfRule>
    <cfRule type="expression" dxfId="1527" priority="312">
      <formula>$C37&lt;$E$3</formula>
    </cfRule>
    <cfRule type="cellIs" dxfId="1526" priority="313" operator="equal">
      <formula>0</formula>
    </cfRule>
    <cfRule type="expression" dxfId="1525" priority="314">
      <formula>$C37&gt;$E$3</formula>
    </cfRule>
  </conditionalFormatting>
  <conditionalFormatting sqref="K37">
    <cfRule type="expression" dxfId="1524" priority="310">
      <formula>$C37&lt;$E$3</formula>
    </cfRule>
  </conditionalFormatting>
  <conditionalFormatting sqref="K37">
    <cfRule type="expression" dxfId="1523" priority="306">
      <formula>$C37=$E$3</formula>
    </cfRule>
    <cfRule type="expression" dxfId="1522" priority="307">
      <formula>$C37&lt;$E$3</formula>
    </cfRule>
    <cfRule type="cellIs" dxfId="1521" priority="308" operator="equal">
      <formula>0</formula>
    </cfRule>
    <cfRule type="expression" dxfId="1520" priority="309">
      <formula>$C37&gt;$E$3</formula>
    </cfRule>
  </conditionalFormatting>
  <conditionalFormatting sqref="K37">
    <cfRule type="expression" dxfId="1519" priority="295">
      <formula>$E37=""</formula>
    </cfRule>
  </conditionalFormatting>
  <conditionalFormatting sqref="K37">
    <cfRule type="expression" dxfId="1518" priority="294">
      <formula>$C37&lt;$E$3</formula>
    </cfRule>
  </conditionalFormatting>
  <conditionalFormatting sqref="K37">
    <cfRule type="expression" dxfId="1517" priority="293">
      <formula>$E37=""</formula>
    </cfRule>
  </conditionalFormatting>
  <conditionalFormatting sqref="K37">
    <cfRule type="expression" dxfId="1516" priority="292">
      <formula>$E37=""</formula>
    </cfRule>
  </conditionalFormatting>
  <conditionalFormatting sqref="K37">
    <cfRule type="expression" dxfId="1515" priority="291">
      <formula>$C37&lt;$E$3</formula>
    </cfRule>
  </conditionalFormatting>
  <conditionalFormatting sqref="K37">
    <cfRule type="expression" dxfId="1514" priority="290">
      <formula>$E37=""</formula>
    </cfRule>
  </conditionalFormatting>
  <conditionalFormatting sqref="K37">
    <cfRule type="expression" dxfId="1513" priority="289">
      <formula>$C37&lt;$E$3</formula>
    </cfRule>
  </conditionalFormatting>
  <conditionalFormatting sqref="K37">
    <cfRule type="expression" dxfId="1512" priority="288">
      <formula>$E37=""</formula>
    </cfRule>
  </conditionalFormatting>
  <conditionalFormatting sqref="K37">
    <cfRule type="expression" dxfId="1511" priority="287">
      <formula>$C37&lt;$E$3</formula>
    </cfRule>
  </conditionalFormatting>
  <conditionalFormatting sqref="K37">
    <cfRule type="expression" dxfId="1510" priority="286">
      <formula>$E37=""</formula>
    </cfRule>
  </conditionalFormatting>
  <conditionalFormatting sqref="K32:K36">
    <cfRule type="expression" dxfId="1509" priority="285">
      <formula>$C32&lt;$E$3</formula>
    </cfRule>
  </conditionalFormatting>
  <conditionalFormatting sqref="K32:K36">
    <cfRule type="expression" dxfId="1508" priority="281">
      <formula>$C32=$E$3</formula>
    </cfRule>
    <cfRule type="expression" dxfId="1507" priority="282">
      <formula>$C32&lt;$E$3</formula>
    </cfRule>
    <cfRule type="cellIs" dxfId="1506" priority="283" operator="equal">
      <formula>0</formula>
    </cfRule>
    <cfRule type="expression" dxfId="1505" priority="284">
      <formula>$C32&gt;$E$3</formula>
    </cfRule>
  </conditionalFormatting>
  <conditionalFormatting sqref="K32:K36">
    <cfRule type="expression" dxfId="1504" priority="280">
      <formula>$C32&lt;$E$3</formula>
    </cfRule>
  </conditionalFormatting>
  <conditionalFormatting sqref="K32:K36">
    <cfRule type="expression" dxfId="1503" priority="276">
      <formula>$C32=$E$3</formula>
    </cfRule>
    <cfRule type="expression" dxfId="1502" priority="277">
      <formula>$C32&lt;$E$3</formula>
    </cfRule>
    <cfRule type="cellIs" dxfId="1501" priority="278" operator="equal">
      <formula>0</formula>
    </cfRule>
    <cfRule type="expression" dxfId="1500" priority="279">
      <formula>$C32&gt;$E$3</formula>
    </cfRule>
  </conditionalFormatting>
  <conditionalFormatting sqref="K32:K36">
    <cfRule type="expression" dxfId="1499" priority="265">
      <formula>$E32=""</formula>
    </cfRule>
  </conditionalFormatting>
  <conditionalFormatting sqref="K32:K36">
    <cfRule type="expression" dxfId="1498" priority="264">
      <formula>$C32&lt;$E$3</formula>
    </cfRule>
  </conditionalFormatting>
  <conditionalFormatting sqref="K32:K36">
    <cfRule type="expression" dxfId="1497" priority="263">
      <formula>$E32=""</formula>
    </cfRule>
  </conditionalFormatting>
  <conditionalFormatting sqref="K32:K36">
    <cfRule type="expression" dxfId="1496" priority="262">
      <formula>$E32=""</formula>
    </cfRule>
  </conditionalFormatting>
  <conditionalFormatting sqref="K32:K36">
    <cfRule type="expression" dxfId="1495" priority="261">
      <formula>$C32&lt;$E$3</formula>
    </cfRule>
  </conditionalFormatting>
  <conditionalFormatting sqref="K32:K36">
    <cfRule type="expression" dxfId="1494" priority="260">
      <formula>$E32=""</formula>
    </cfRule>
  </conditionalFormatting>
  <conditionalFormatting sqref="K32:K36">
    <cfRule type="expression" dxfId="1493" priority="259">
      <formula>$C32&lt;$E$3</formula>
    </cfRule>
  </conditionalFormatting>
  <conditionalFormatting sqref="K32:K36">
    <cfRule type="expression" dxfId="1492" priority="258">
      <formula>$E32=""</formula>
    </cfRule>
  </conditionalFormatting>
  <conditionalFormatting sqref="K32:K36">
    <cfRule type="expression" dxfId="1491" priority="257">
      <formula>$C32&lt;$E$3</formula>
    </cfRule>
  </conditionalFormatting>
  <conditionalFormatting sqref="K32:K36">
    <cfRule type="expression" dxfId="1490" priority="256">
      <formula>$E32=""</formula>
    </cfRule>
  </conditionalFormatting>
  <conditionalFormatting sqref="K32:K36">
    <cfRule type="expression" dxfId="1489" priority="255">
      <formula>$C32&lt;$E$3</formula>
    </cfRule>
  </conditionalFormatting>
  <conditionalFormatting sqref="K32:K36">
    <cfRule type="expression" dxfId="1488" priority="251">
      <formula>$C32=$E$3</formula>
    </cfRule>
    <cfRule type="expression" dxfId="1487" priority="252">
      <formula>$C32&lt;$E$3</formula>
    </cfRule>
    <cfRule type="cellIs" dxfId="1486" priority="253" operator="equal">
      <formula>0</formula>
    </cfRule>
    <cfRule type="expression" dxfId="1485" priority="254">
      <formula>$C32&gt;$E$3</formula>
    </cfRule>
  </conditionalFormatting>
  <conditionalFormatting sqref="K32:K36">
    <cfRule type="expression" dxfId="1484" priority="250">
      <formula>$C32&lt;$E$3</formula>
    </cfRule>
  </conditionalFormatting>
  <conditionalFormatting sqref="K32:K36">
    <cfRule type="expression" dxfId="1483" priority="246">
      <formula>$C32=$E$3</formula>
    </cfRule>
    <cfRule type="expression" dxfId="1482" priority="247">
      <formula>$C32&lt;$E$3</formula>
    </cfRule>
    <cfRule type="cellIs" dxfId="1481" priority="248" operator="equal">
      <formula>0</formula>
    </cfRule>
    <cfRule type="expression" dxfId="1480" priority="249">
      <formula>$C32&gt;$E$3</formula>
    </cfRule>
  </conditionalFormatting>
  <conditionalFormatting sqref="K32:K36">
    <cfRule type="expression" dxfId="1479" priority="245">
      <formula>$C32&lt;$E$3</formula>
    </cfRule>
  </conditionalFormatting>
  <conditionalFormatting sqref="K32:K36">
    <cfRule type="expression" dxfId="1478" priority="241">
      <formula>$C32=$E$3</formula>
    </cfRule>
    <cfRule type="expression" dxfId="1477" priority="242">
      <formula>$C32&lt;$E$3</formula>
    </cfRule>
    <cfRule type="cellIs" dxfId="1476" priority="243" operator="equal">
      <formula>0</formula>
    </cfRule>
    <cfRule type="expression" dxfId="1475" priority="244">
      <formula>$C32&gt;$E$3</formula>
    </cfRule>
  </conditionalFormatting>
  <conditionalFormatting sqref="K32:K36">
    <cfRule type="expression" dxfId="1474" priority="240">
      <formula>$C32&lt;$E$3</formula>
    </cfRule>
  </conditionalFormatting>
  <conditionalFormatting sqref="K32:K36">
    <cfRule type="expression" dxfId="1473" priority="236">
      <formula>$C32=$E$3</formula>
    </cfRule>
    <cfRule type="expression" dxfId="1472" priority="237">
      <formula>$C32&lt;$E$3</formula>
    </cfRule>
    <cfRule type="cellIs" dxfId="1471" priority="238" operator="equal">
      <formula>0</formula>
    </cfRule>
    <cfRule type="expression" dxfId="1470" priority="239">
      <formula>$C32&gt;$E$3</formula>
    </cfRule>
  </conditionalFormatting>
  <conditionalFormatting sqref="K32:K36">
    <cfRule type="expression" dxfId="1469" priority="235">
      <formula>$E32=""</formula>
    </cfRule>
  </conditionalFormatting>
  <conditionalFormatting sqref="K32:K36">
    <cfRule type="expression" dxfId="1468" priority="234">
      <formula>$C32&lt;$E$3</formula>
    </cfRule>
  </conditionalFormatting>
  <conditionalFormatting sqref="K32:K36">
    <cfRule type="expression" dxfId="1467" priority="233">
      <formula>$E32=""</formula>
    </cfRule>
  </conditionalFormatting>
  <conditionalFormatting sqref="K32:K36">
    <cfRule type="expression" dxfId="1466" priority="232">
      <formula>$E32=""</formula>
    </cfRule>
  </conditionalFormatting>
  <conditionalFormatting sqref="K32:K36">
    <cfRule type="expression" dxfId="1465" priority="231">
      <formula>$C32&lt;$E$3</formula>
    </cfRule>
  </conditionalFormatting>
  <conditionalFormatting sqref="K32:K36">
    <cfRule type="expression" dxfId="1464" priority="230">
      <formula>$E32=""</formula>
    </cfRule>
  </conditionalFormatting>
  <conditionalFormatting sqref="K32:K36">
    <cfRule type="expression" dxfId="1463" priority="229">
      <formula>$C32&lt;$E$3</formula>
    </cfRule>
  </conditionalFormatting>
  <conditionalFormatting sqref="K32:K36">
    <cfRule type="expression" dxfId="1462" priority="228">
      <formula>$E32=""</formula>
    </cfRule>
  </conditionalFormatting>
  <conditionalFormatting sqref="K32:K36">
    <cfRule type="expression" dxfId="1461" priority="227">
      <formula>$C32&lt;$E$3</formula>
    </cfRule>
  </conditionalFormatting>
  <conditionalFormatting sqref="K32:K36">
    <cfRule type="expression" dxfId="1460" priority="226">
      <formula>$E32=""</formula>
    </cfRule>
  </conditionalFormatting>
  <conditionalFormatting sqref="K32:K38">
    <cfRule type="expression" dxfId="1459" priority="224">
      <formula>$C32&lt;$E$3</formula>
    </cfRule>
  </conditionalFormatting>
  <conditionalFormatting sqref="K32:K38">
    <cfRule type="expression" dxfId="1458" priority="221">
      <formula>$C32=$E$3</formula>
    </cfRule>
    <cfRule type="expression" dxfId="1457" priority="222">
      <formula>$C32&lt;$E$3</formula>
    </cfRule>
    <cfRule type="cellIs" dxfId="1456" priority="223" operator="equal">
      <formula>0</formula>
    </cfRule>
    <cfRule type="expression" dxfId="1455" priority="225">
      <formula>$C32&gt;$E$3</formula>
    </cfRule>
  </conditionalFormatting>
  <conditionalFormatting sqref="K32:K38">
    <cfRule type="expression" dxfId="1454" priority="220">
      <formula>$E32=""</formula>
    </cfRule>
  </conditionalFormatting>
  <conditionalFormatting sqref="K32:K38">
    <cfRule type="expression" dxfId="1453" priority="219">
      <formula>$E32=""</formula>
    </cfRule>
  </conditionalFormatting>
  <conditionalFormatting sqref="K32:K38">
    <cfRule type="expression" dxfId="1452" priority="218">
      <formula>$E32=""</formula>
    </cfRule>
  </conditionalFormatting>
  <conditionalFormatting sqref="K41:K47">
    <cfRule type="cellIs" dxfId="1451" priority="217" stopIfTrue="1" operator="lessThan">
      <formula>0</formula>
    </cfRule>
  </conditionalFormatting>
  <conditionalFormatting sqref="K41:K47">
    <cfRule type="expression" dxfId="1450" priority="215">
      <formula>$C41&lt;$E$3</formula>
    </cfRule>
  </conditionalFormatting>
  <conditionalFormatting sqref="K41:K47">
    <cfRule type="expression" dxfId="1449" priority="212">
      <formula>$C41=$E$3</formula>
    </cfRule>
    <cfRule type="expression" dxfId="1448" priority="213">
      <formula>$C41&lt;$E$3</formula>
    </cfRule>
    <cfRule type="cellIs" dxfId="1447" priority="214" operator="equal">
      <formula>0</formula>
    </cfRule>
    <cfRule type="expression" dxfId="1446" priority="216">
      <formula>$C41&gt;$E$3</formula>
    </cfRule>
  </conditionalFormatting>
  <conditionalFormatting sqref="K41:K47">
    <cfRule type="expression" dxfId="1445" priority="211">
      <formula>$E41=""</formula>
    </cfRule>
  </conditionalFormatting>
  <conditionalFormatting sqref="K41:K47">
    <cfRule type="expression" dxfId="1444" priority="210">
      <formula>$E41=""</formula>
    </cfRule>
  </conditionalFormatting>
  <conditionalFormatting sqref="K41:K47">
    <cfRule type="expression" dxfId="1443" priority="209">
      <formula>$E41=""</formula>
    </cfRule>
  </conditionalFormatting>
  <conditionalFormatting sqref="K46">
    <cfRule type="expression" dxfId="1442" priority="208">
      <formula>$C46&lt;$E$3</formula>
    </cfRule>
  </conditionalFormatting>
  <conditionalFormatting sqref="K46">
    <cfRule type="expression" dxfId="1441" priority="204">
      <formula>$C46=$E$3</formula>
    </cfRule>
    <cfRule type="expression" dxfId="1440" priority="205">
      <formula>$C46&lt;$E$3</formula>
    </cfRule>
    <cfRule type="cellIs" dxfId="1439" priority="206" operator="equal">
      <formula>0</formula>
    </cfRule>
    <cfRule type="expression" dxfId="1438" priority="207">
      <formula>$C46&gt;$E$3</formula>
    </cfRule>
  </conditionalFormatting>
  <conditionalFormatting sqref="K46">
    <cfRule type="expression" dxfId="1437" priority="203">
      <formula>$C46&lt;$E$3</formula>
    </cfRule>
  </conditionalFormatting>
  <conditionalFormatting sqref="K46">
    <cfRule type="expression" dxfId="1436" priority="199">
      <formula>$C46=$E$3</formula>
    </cfRule>
    <cfRule type="expression" dxfId="1435" priority="200">
      <formula>$C46&lt;$E$3</formula>
    </cfRule>
    <cfRule type="cellIs" dxfId="1434" priority="201" operator="equal">
      <formula>0</formula>
    </cfRule>
    <cfRule type="expression" dxfId="1433" priority="202">
      <formula>$C46&gt;$E$3</formula>
    </cfRule>
  </conditionalFormatting>
  <conditionalFormatting sqref="K46">
    <cfRule type="expression" dxfId="1432" priority="198">
      <formula>$C46&lt;$E$3</formula>
    </cfRule>
  </conditionalFormatting>
  <conditionalFormatting sqref="K46">
    <cfRule type="expression" dxfId="1431" priority="194">
      <formula>$C46=$E$3</formula>
    </cfRule>
    <cfRule type="expression" dxfId="1430" priority="195">
      <formula>$C46&lt;$E$3</formula>
    </cfRule>
    <cfRule type="cellIs" dxfId="1429" priority="196" operator="equal">
      <formula>0</formula>
    </cfRule>
    <cfRule type="expression" dxfId="1428" priority="197">
      <formula>$C46&gt;$E$3</formula>
    </cfRule>
  </conditionalFormatting>
  <conditionalFormatting sqref="K46">
    <cfRule type="expression" dxfId="1427" priority="193">
      <formula>$C46&lt;$E$3</formula>
    </cfRule>
  </conditionalFormatting>
  <conditionalFormatting sqref="K46">
    <cfRule type="expression" dxfId="1426" priority="189">
      <formula>$C46=$E$3</formula>
    </cfRule>
    <cfRule type="expression" dxfId="1425" priority="190">
      <formula>$C46&lt;$E$3</formula>
    </cfRule>
    <cfRule type="cellIs" dxfId="1424" priority="191" operator="equal">
      <formula>0</formula>
    </cfRule>
    <cfRule type="expression" dxfId="1423" priority="192">
      <formula>$C46&gt;$E$3</formula>
    </cfRule>
  </conditionalFormatting>
  <conditionalFormatting sqref="K46">
    <cfRule type="expression" dxfId="1422" priority="188">
      <formula>$E46=""</formula>
    </cfRule>
  </conditionalFormatting>
  <conditionalFormatting sqref="K46">
    <cfRule type="expression" dxfId="1421" priority="187">
      <formula>$C46&lt;$E$3</formula>
    </cfRule>
  </conditionalFormatting>
  <conditionalFormatting sqref="K46">
    <cfRule type="expression" dxfId="1420" priority="186">
      <formula>$E46=""</formula>
    </cfRule>
  </conditionalFormatting>
  <conditionalFormatting sqref="K46">
    <cfRule type="expression" dxfId="1419" priority="185">
      <formula>$E46=""</formula>
    </cfRule>
  </conditionalFormatting>
  <conditionalFormatting sqref="K46">
    <cfRule type="expression" dxfId="1418" priority="184">
      <formula>$C46&lt;$E$3</formula>
    </cfRule>
  </conditionalFormatting>
  <conditionalFormatting sqref="K46">
    <cfRule type="expression" dxfId="1417" priority="183">
      <formula>$E46=""</formula>
    </cfRule>
  </conditionalFormatting>
  <conditionalFormatting sqref="K46">
    <cfRule type="expression" dxfId="1416" priority="182">
      <formula>$C46&lt;$E$3</formula>
    </cfRule>
  </conditionalFormatting>
  <conditionalFormatting sqref="K46">
    <cfRule type="expression" dxfId="1415" priority="181">
      <formula>$E46=""</formula>
    </cfRule>
  </conditionalFormatting>
  <conditionalFormatting sqref="K46">
    <cfRule type="expression" dxfId="1414" priority="180">
      <formula>$C46&lt;$E$3</formula>
    </cfRule>
  </conditionalFormatting>
  <conditionalFormatting sqref="K46">
    <cfRule type="expression" dxfId="1413" priority="179">
      <formula>$E46=""</formula>
    </cfRule>
  </conditionalFormatting>
  <conditionalFormatting sqref="K46">
    <cfRule type="expression" dxfId="1412" priority="178">
      <formula>$C46&lt;$E$3</formula>
    </cfRule>
  </conditionalFormatting>
  <conditionalFormatting sqref="K46">
    <cfRule type="expression" dxfId="1411" priority="174">
      <formula>$C46=$E$3</formula>
    </cfRule>
    <cfRule type="expression" dxfId="1410" priority="175">
      <formula>$C46&lt;$E$3</formula>
    </cfRule>
    <cfRule type="cellIs" dxfId="1409" priority="176" operator="equal">
      <formula>0</formula>
    </cfRule>
    <cfRule type="expression" dxfId="1408" priority="177">
      <formula>$C46&gt;$E$3</formula>
    </cfRule>
  </conditionalFormatting>
  <conditionalFormatting sqref="K46">
    <cfRule type="expression" dxfId="1407" priority="173">
      <formula>$C46&lt;$E$3</formula>
    </cfRule>
  </conditionalFormatting>
  <conditionalFormatting sqref="K46">
    <cfRule type="expression" dxfId="1406" priority="169">
      <formula>$C46=$E$3</formula>
    </cfRule>
    <cfRule type="expression" dxfId="1405" priority="170">
      <formula>$C46&lt;$E$3</formula>
    </cfRule>
    <cfRule type="cellIs" dxfId="1404" priority="171" operator="equal">
      <formula>0</formula>
    </cfRule>
    <cfRule type="expression" dxfId="1403" priority="172">
      <formula>$C46&gt;$E$3</formula>
    </cfRule>
  </conditionalFormatting>
  <conditionalFormatting sqref="K46">
    <cfRule type="expression" dxfId="1402" priority="168">
      <formula>$C46&lt;$E$3</formula>
    </cfRule>
  </conditionalFormatting>
  <conditionalFormatting sqref="K46">
    <cfRule type="expression" dxfId="1401" priority="164">
      <formula>$C46=$E$3</formula>
    </cfRule>
    <cfRule type="expression" dxfId="1400" priority="165">
      <formula>$C46&lt;$E$3</formula>
    </cfRule>
    <cfRule type="cellIs" dxfId="1399" priority="166" operator="equal">
      <formula>0</formula>
    </cfRule>
    <cfRule type="expression" dxfId="1398" priority="167">
      <formula>$C46&gt;$E$3</formula>
    </cfRule>
  </conditionalFormatting>
  <conditionalFormatting sqref="K46">
    <cfRule type="expression" dxfId="1397" priority="163">
      <formula>$C46&lt;$E$3</formula>
    </cfRule>
  </conditionalFormatting>
  <conditionalFormatting sqref="K46">
    <cfRule type="expression" dxfId="1396" priority="159">
      <formula>$C46=$E$3</formula>
    </cfRule>
    <cfRule type="expression" dxfId="1395" priority="160">
      <formula>$C46&lt;$E$3</formula>
    </cfRule>
    <cfRule type="cellIs" dxfId="1394" priority="161" operator="equal">
      <formula>0</formula>
    </cfRule>
    <cfRule type="expression" dxfId="1393" priority="162">
      <formula>$C46&gt;$E$3</formula>
    </cfRule>
  </conditionalFormatting>
  <conditionalFormatting sqref="K46">
    <cfRule type="expression" dxfId="1392" priority="158">
      <formula>$E46=""</formula>
    </cfRule>
  </conditionalFormatting>
  <conditionalFormatting sqref="K46">
    <cfRule type="expression" dxfId="1391" priority="157">
      <formula>$C46&lt;$E$3</formula>
    </cfRule>
  </conditionalFormatting>
  <conditionalFormatting sqref="K46">
    <cfRule type="expression" dxfId="1390" priority="156">
      <formula>$E46=""</formula>
    </cfRule>
  </conditionalFormatting>
  <conditionalFormatting sqref="K46">
    <cfRule type="expression" dxfId="1389" priority="155">
      <formula>$E46=""</formula>
    </cfRule>
  </conditionalFormatting>
  <conditionalFormatting sqref="K46">
    <cfRule type="expression" dxfId="1388" priority="154">
      <formula>$C46&lt;$E$3</formula>
    </cfRule>
  </conditionalFormatting>
  <conditionalFormatting sqref="K46">
    <cfRule type="expression" dxfId="1387" priority="153">
      <formula>$E46=""</formula>
    </cfRule>
  </conditionalFormatting>
  <conditionalFormatting sqref="K46">
    <cfRule type="expression" dxfId="1386" priority="152">
      <formula>$C46&lt;$E$3</formula>
    </cfRule>
  </conditionalFormatting>
  <conditionalFormatting sqref="K46">
    <cfRule type="expression" dxfId="1385" priority="151">
      <formula>$E46=""</formula>
    </cfRule>
  </conditionalFormatting>
  <conditionalFormatting sqref="K46">
    <cfRule type="expression" dxfId="1384" priority="150">
      <formula>$C46&lt;$E$3</formula>
    </cfRule>
  </conditionalFormatting>
  <conditionalFormatting sqref="K46">
    <cfRule type="expression" dxfId="1383" priority="149">
      <formula>$E46=""</formula>
    </cfRule>
  </conditionalFormatting>
  <conditionalFormatting sqref="K41:K45">
    <cfRule type="expression" dxfId="1382" priority="148">
      <formula>$C41&lt;$E$3</formula>
    </cfRule>
  </conditionalFormatting>
  <conditionalFormatting sqref="K41:K45">
    <cfRule type="expression" dxfId="1381" priority="144">
      <formula>$C41=$E$3</formula>
    </cfRule>
    <cfRule type="expression" dxfId="1380" priority="145">
      <formula>$C41&lt;$E$3</formula>
    </cfRule>
    <cfRule type="cellIs" dxfId="1379" priority="146" operator="equal">
      <formula>0</formula>
    </cfRule>
    <cfRule type="expression" dxfId="1378" priority="147">
      <formula>$C41&gt;$E$3</formula>
    </cfRule>
  </conditionalFormatting>
  <conditionalFormatting sqref="K41:K45">
    <cfRule type="expression" dxfId="1377" priority="143">
      <formula>$C41&lt;$E$3</formula>
    </cfRule>
  </conditionalFormatting>
  <conditionalFormatting sqref="K41:K45">
    <cfRule type="expression" dxfId="1376" priority="139">
      <formula>$C41=$E$3</formula>
    </cfRule>
    <cfRule type="expression" dxfId="1375" priority="140">
      <formula>$C41&lt;$E$3</formula>
    </cfRule>
    <cfRule type="cellIs" dxfId="1374" priority="141" operator="equal">
      <formula>0</formula>
    </cfRule>
    <cfRule type="expression" dxfId="1373" priority="142">
      <formula>$C41&gt;$E$3</formula>
    </cfRule>
  </conditionalFormatting>
  <conditionalFormatting sqref="K41:K45">
    <cfRule type="expression" dxfId="1372" priority="138">
      <formula>$C41&lt;$E$3</formula>
    </cfRule>
  </conditionalFormatting>
  <conditionalFormatting sqref="K41:K45">
    <cfRule type="expression" dxfId="1371" priority="134">
      <formula>$C41=$E$3</formula>
    </cfRule>
    <cfRule type="expression" dxfId="1370" priority="135">
      <formula>$C41&lt;$E$3</formula>
    </cfRule>
    <cfRule type="cellIs" dxfId="1369" priority="136" operator="equal">
      <formula>0</formula>
    </cfRule>
    <cfRule type="expression" dxfId="1368" priority="137">
      <formula>$C41&gt;$E$3</formula>
    </cfRule>
  </conditionalFormatting>
  <conditionalFormatting sqref="K41:K45">
    <cfRule type="expression" dxfId="1367" priority="133">
      <formula>$C41&lt;$E$3</formula>
    </cfRule>
  </conditionalFormatting>
  <conditionalFormatting sqref="K41:K45">
    <cfRule type="expression" dxfId="1366" priority="129">
      <formula>$C41=$E$3</formula>
    </cfRule>
    <cfRule type="expression" dxfId="1365" priority="130">
      <formula>$C41&lt;$E$3</formula>
    </cfRule>
    <cfRule type="cellIs" dxfId="1364" priority="131" operator="equal">
      <formula>0</formula>
    </cfRule>
    <cfRule type="expression" dxfId="1363" priority="132">
      <formula>$C41&gt;$E$3</formula>
    </cfRule>
  </conditionalFormatting>
  <conditionalFormatting sqref="K41:K45">
    <cfRule type="expression" dxfId="1362" priority="128">
      <formula>$E41=""</formula>
    </cfRule>
  </conditionalFormatting>
  <conditionalFormatting sqref="K41:K45">
    <cfRule type="expression" dxfId="1361" priority="127">
      <formula>$C41&lt;$E$3</formula>
    </cfRule>
  </conditionalFormatting>
  <conditionalFormatting sqref="K41:K45">
    <cfRule type="expression" dxfId="1360" priority="126">
      <formula>$E41=""</formula>
    </cfRule>
  </conditionalFormatting>
  <conditionalFormatting sqref="K41:K45">
    <cfRule type="expression" dxfId="1359" priority="125">
      <formula>$E41=""</formula>
    </cfRule>
  </conditionalFormatting>
  <conditionalFormatting sqref="K41:K45">
    <cfRule type="expression" dxfId="1358" priority="124">
      <formula>$C41&lt;$E$3</formula>
    </cfRule>
  </conditionalFormatting>
  <conditionalFormatting sqref="K41:K45">
    <cfRule type="expression" dxfId="1357" priority="123">
      <formula>$E41=""</formula>
    </cfRule>
  </conditionalFormatting>
  <conditionalFormatting sqref="K41:K45">
    <cfRule type="expression" dxfId="1356" priority="122">
      <formula>$C41&lt;$E$3</formula>
    </cfRule>
  </conditionalFormatting>
  <conditionalFormatting sqref="K41:K45">
    <cfRule type="expression" dxfId="1355" priority="121">
      <formula>$E41=""</formula>
    </cfRule>
  </conditionalFormatting>
  <conditionalFormatting sqref="K41:K45">
    <cfRule type="expression" dxfId="1354" priority="120">
      <formula>$C41&lt;$E$3</formula>
    </cfRule>
  </conditionalFormatting>
  <conditionalFormatting sqref="K41:K45">
    <cfRule type="expression" dxfId="1353" priority="119">
      <formula>$E41=""</formula>
    </cfRule>
  </conditionalFormatting>
  <conditionalFormatting sqref="K41:K45">
    <cfRule type="expression" dxfId="1352" priority="118">
      <formula>$C41&lt;$E$3</formula>
    </cfRule>
  </conditionalFormatting>
  <conditionalFormatting sqref="K41:K45">
    <cfRule type="expression" dxfId="1351" priority="114">
      <formula>$C41=$E$3</formula>
    </cfRule>
    <cfRule type="expression" dxfId="1350" priority="115">
      <formula>$C41&lt;$E$3</formula>
    </cfRule>
    <cfRule type="cellIs" dxfId="1349" priority="116" operator="equal">
      <formula>0</formula>
    </cfRule>
    <cfRule type="expression" dxfId="1348" priority="117">
      <formula>$C41&gt;$E$3</formula>
    </cfRule>
  </conditionalFormatting>
  <conditionalFormatting sqref="K41:K45">
    <cfRule type="expression" dxfId="1347" priority="113">
      <formula>$C41&lt;$E$3</formula>
    </cfRule>
  </conditionalFormatting>
  <conditionalFormatting sqref="K41:K45">
    <cfRule type="expression" dxfId="1346" priority="109">
      <formula>$C41=$E$3</formula>
    </cfRule>
    <cfRule type="expression" dxfId="1345" priority="110">
      <formula>$C41&lt;$E$3</formula>
    </cfRule>
    <cfRule type="cellIs" dxfId="1344" priority="111" operator="equal">
      <formula>0</formula>
    </cfRule>
    <cfRule type="expression" dxfId="1343" priority="112">
      <formula>$C41&gt;$E$3</formula>
    </cfRule>
  </conditionalFormatting>
  <conditionalFormatting sqref="K41:K45">
    <cfRule type="expression" dxfId="1342" priority="108">
      <formula>$C41&lt;$E$3</formula>
    </cfRule>
  </conditionalFormatting>
  <conditionalFormatting sqref="K41:K45">
    <cfRule type="expression" dxfId="1341" priority="104">
      <formula>$C41=$E$3</formula>
    </cfRule>
    <cfRule type="expression" dxfId="1340" priority="105">
      <formula>$C41&lt;$E$3</formula>
    </cfRule>
    <cfRule type="cellIs" dxfId="1339" priority="106" operator="equal">
      <formula>0</formula>
    </cfRule>
    <cfRule type="expression" dxfId="1338" priority="107">
      <formula>$C41&gt;$E$3</formula>
    </cfRule>
  </conditionalFormatting>
  <conditionalFormatting sqref="K41:K45">
    <cfRule type="expression" dxfId="1337" priority="103">
      <formula>$C41&lt;$E$3</formula>
    </cfRule>
  </conditionalFormatting>
  <conditionalFormatting sqref="K41:K45">
    <cfRule type="expression" dxfId="1336" priority="99">
      <formula>$C41=$E$3</formula>
    </cfRule>
    <cfRule type="expression" dxfId="1335" priority="100">
      <formula>$C41&lt;$E$3</formula>
    </cfRule>
    <cfRule type="cellIs" dxfId="1334" priority="101" operator="equal">
      <formula>0</formula>
    </cfRule>
    <cfRule type="expression" dxfId="1333" priority="102">
      <formula>$C41&gt;$E$3</formula>
    </cfRule>
  </conditionalFormatting>
  <conditionalFormatting sqref="K41:K45">
    <cfRule type="expression" dxfId="1332" priority="98">
      <formula>$E41=""</formula>
    </cfRule>
  </conditionalFormatting>
  <conditionalFormatting sqref="K41:K45">
    <cfRule type="expression" dxfId="1331" priority="97">
      <formula>$C41&lt;$E$3</formula>
    </cfRule>
  </conditionalFormatting>
  <conditionalFormatting sqref="K41:K45">
    <cfRule type="expression" dxfId="1330" priority="96">
      <formula>$E41=""</formula>
    </cfRule>
  </conditionalFormatting>
  <conditionalFormatting sqref="K41:K45">
    <cfRule type="expression" dxfId="1329" priority="95">
      <formula>$E41=""</formula>
    </cfRule>
  </conditionalFormatting>
  <conditionalFormatting sqref="K41:K45">
    <cfRule type="expression" dxfId="1328" priority="94">
      <formula>$C41&lt;$E$3</formula>
    </cfRule>
  </conditionalFormatting>
  <conditionalFormatting sqref="K41:K45">
    <cfRule type="expression" dxfId="1327" priority="93">
      <formula>$E41=""</formula>
    </cfRule>
  </conditionalFormatting>
  <conditionalFormatting sqref="K41:K45">
    <cfRule type="expression" dxfId="1326" priority="92">
      <formula>$C41&lt;$E$3</formula>
    </cfRule>
  </conditionalFormatting>
  <conditionalFormatting sqref="K41:K45">
    <cfRule type="expression" dxfId="1325" priority="91">
      <formula>$E41=""</formula>
    </cfRule>
  </conditionalFormatting>
  <conditionalFormatting sqref="K41:K45">
    <cfRule type="expression" dxfId="1324" priority="90">
      <formula>$C41&lt;$E$3</formula>
    </cfRule>
  </conditionalFormatting>
  <conditionalFormatting sqref="K41:K45">
    <cfRule type="expression" dxfId="1323" priority="89">
      <formula>$E41=""</formula>
    </cfRule>
  </conditionalFormatting>
  <conditionalFormatting sqref="K41:K47">
    <cfRule type="expression" dxfId="1322" priority="87">
      <formula>$C41&lt;$E$3</formula>
    </cfRule>
  </conditionalFormatting>
  <conditionalFormatting sqref="K41:K47">
    <cfRule type="expression" dxfId="1321" priority="84">
      <formula>$C41=$E$3</formula>
    </cfRule>
    <cfRule type="expression" dxfId="1320" priority="85">
      <formula>$C41&lt;$E$3</formula>
    </cfRule>
    <cfRule type="cellIs" dxfId="1319" priority="86" operator="equal">
      <formula>0</formula>
    </cfRule>
    <cfRule type="expression" dxfId="1318" priority="88">
      <formula>$C41&gt;$E$3</formula>
    </cfRule>
  </conditionalFormatting>
  <conditionalFormatting sqref="K41:K47">
    <cfRule type="expression" dxfId="1317" priority="83">
      <formula>$E41=""</formula>
    </cfRule>
  </conditionalFormatting>
  <conditionalFormatting sqref="K41:K47">
    <cfRule type="expression" dxfId="1316" priority="82">
      <formula>$E41=""</formula>
    </cfRule>
  </conditionalFormatting>
  <conditionalFormatting sqref="K41:K47">
    <cfRule type="expression" dxfId="1315" priority="81">
      <formula>$E41=""</formula>
    </cfRule>
  </conditionalFormatting>
  <conditionalFormatting sqref="K50:K51">
    <cfRule type="cellIs" dxfId="1314" priority="80" stopIfTrue="1" operator="lessThan">
      <formula>0</formula>
    </cfRule>
  </conditionalFormatting>
  <conditionalFormatting sqref="K50:K51">
    <cfRule type="expression" dxfId="1313" priority="78">
      <formula>$C50&lt;$E$3</formula>
    </cfRule>
  </conditionalFormatting>
  <conditionalFormatting sqref="K50:K51">
    <cfRule type="expression" dxfId="1312" priority="75">
      <formula>$C50=$E$3</formula>
    </cfRule>
    <cfRule type="expression" dxfId="1311" priority="76">
      <formula>$C50&lt;$E$3</formula>
    </cfRule>
    <cfRule type="cellIs" dxfId="1310" priority="77" operator="equal">
      <formula>0</formula>
    </cfRule>
    <cfRule type="expression" dxfId="1309" priority="79">
      <formula>$C50&gt;$E$3</formula>
    </cfRule>
  </conditionalFormatting>
  <conditionalFormatting sqref="K50:K51">
    <cfRule type="expression" dxfId="1308" priority="74">
      <formula>$E50=""</formula>
    </cfRule>
  </conditionalFormatting>
  <conditionalFormatting sqref="K50:K51">
    <cfRule type="expression" dxfId="1307" priority="73">
      <formula>$E50=""</formula>
    </cfRule>
  </conditionalFormatting>
  <conditionalFormatting sqref="K50:K51">
    <cfRule type="expression" dxfId="1306" priority="72">
      <formula>$E50=""</formula>
    </cfRule>
  </conditionalFormatting>
  <conditionalFormatting sqref="K50:K51">
    <cfRule type="expression" dxfId="1305" priority="71">
      <formula>$C50&lt;$E$3</formula>
    </cfRule>
  </conditionalFormatting>
  <conditionalFormatting sqref="K50:K51">
    <cfRule type="expression" dxfId="1304" priority="67">
      <formula>$C50=$E$3</formula>
    </cfRule>
    <cfRule type="expression" dxfId="1303" priority="68">
      <formula>$C50&lt;$E$3</formula>
    </cfRule>
    <cfRule type="cellIs" dxfId="1302" priority="69" operator="equal">
      <formula>0</formula>
    </cfRule>
    <cfRule type="expression" dxfId="1301" priority="70">
      <formula>$C50&gt;$E$3</formula>
    </cfRule>
  </conditionalFormatting>
  <conditionalFormatting sqref="K50:K51">
    <cfRule type="expression" dxfId="1300" priority="66">
      <formula>$C50&lt;$E$3</formula>
    </cfRule>
  </conditionalFormatting>
  <conditionalFormatting sqref="K50:K51">
    <cfRule type="expression" dxfId="1299" priority="62">
      <formula>$C50=$E$3</formula>
    </cfRule>
    <cfRule type="expression" dxfId="1298" priority="63">
      <formula>$C50&lt;$E$3</formula>
    </cfRule>
    <cfRule type="cellIs" dxfId="1297" priority="64" operator="equal">
      <formula>0</formula>
    </cfRule>
    <cfRule type="expression" dxfId="1296" priority="65">
      <formula>$C50&gt;$E$3</formula>
    </cfRule>
  </conditionalFormatting>
  <conditionalFormatting sqref="K50:K51">
    <cfRule type="expression" dxfId="1295" priority="61">
      <formula>$C50&lt;$E$3</formula>
    </cfRule>
  </conditionalFormatting>
  <conditionalFormatting sqref="K50:K51">
    <cfRule type="expression" dxfId="1294" priority="57">
      <formula>$C50=$E$3</formula>
    </cfRule>
    <cfRule type="expression" dxfId="1293" priority="58">
      <formula>$C50&lt;$E$3</formula>
    </cfRule>
    <cfRule type="cellIs" dxfId="1292" priority="59" operator="equal">
      <formula>0</formula>
    </cfRule>
    <cfRule type="expression" dxfId="1291" priority="60">
      <formula>$C50&gt;$E$3</formula>
    </cfRule>
  </conditionalFormatting>
  <conditionalFormatting sqref="K50:K51">
    <cfRule type="expression" dxfId="1290" priority="56">
      <formula>$C50&lt;$E$3</formula>
    </cfRule>
  </conditionalFormatting>
  <conditionalFormatting sqref="K50:K51">
    <cfRule type="expression" dxfId="1289" priority="52">
      <formula>$C50=$E$3</formula>
    </cfRule>
    <cfRule type="expression" dxfId="1288" priority="53">
      <formula>$C50&lt;$E$3</formula>
    </cfRule>
    <cfRule type="cellIs" dxfId="1287" priority="54" operator="equal">
      <formula>0</formula>
    </cfRule>
    <cfRule type="expression" dxfId="1286" priority="55">
      <formula>$C50&gt;$E$3</formula>
    </cfRule>
  </conditionalFormatting>
  <conditionalFormatting sqref="K50:K51">
    <cfRule type="expression" dxfId="1285" priority="50">
      <formula>$C50&lt;$E$3</formula>
    </cfRule>
  </conditionalFormatting>
  <conditionalFormatting sqref="K50:K51">
    <cfRule type="expression" dxfId="1284" priority="49">
      <formula>$E50=""</formula>
    </cfRule>
  </conditionalFormatting>
  <conditionalFormatting sqref="K50:K51">
    <cfRule type="expression" dxfId="1283" priority="48">
      <formula>$E50=""</formula>
    </cfRule>
  </conditionalFormatting>
  <conditionalFormatting sqref="K50:K51">
    <cfRule type="expression" dxfId="1282" priority="47">
      <formula>$C50&lt;$E$3</formula>
    </cfRule>
  </conditionalFormatting>
  <conditionalFormatting sqref="K50:K51">
    <cfRule type="expression" dxfId="1281" priority="46">
      <formula>$E50=""</formula>
    </cfRule>
  </conditionalFormatting>
  <conditionalFormatting sqref="K50:K51">
    <cfRule type="expression" dxfId="1280" priority="45">
      <formula>$C50&lt;$E$3</formula>
    </cfRule>
  </conditionalFormatting>
  <conditionalFormatting sqref="K50:K51">
    <cfRule type="expression" dxfId="1279" priority="44">
      <formula>$E50=""</formula>
    </cfRule>
  </conditionalFormatting>
  <conditionalFormatting sqref="K50:K51">
    <cfRule type="expression" dxfId="1278" priority="43">
      <formula>$C50&lt;$E$3</formula>
    </cfRule>
  </conditionalFormatting>
  <conditionalFormatting sqref="K50:K51">
    <cfRule type="expression" dxfId="1277" priority="42">
      <formula>$E50=""</formula>
    </cfRule>
  </conditionalFormatting>
  <conditionalFormatting sqref="K50:K51">
    <cfRule type="expression" dxfId="1276" priority="41">
      <formula>$C50&lt;$E$3</formula>
    </cfRule>
  </conditionalFormatting>
  <conditionalFormatting sqref="K50:K51">
    <cfRule type="expression" dxfId="1275" priority="37">
      <formula>$C50=$E$3</formula>
    </cfRule>
    <cfRule type="expression" dxfId="1274" priority="38">
      <formula>$C50&lt;$E$3</formula>
    </cfRule>
    <cfRule type="cellIs" dxfId="1273" priority="39" operator="equal">
      <formula>0</formula>
    </cfRule>
    <cfRule type="expression" dxfId="1272" priority="40">
      <formula>$C50&gt;$E$3</formula>
    </cfRule>
  </conditionalFormatting>
  <conditionalFormatting sqref="K50:K51">
    <cfRule type="expression" dxfId="1271" priority="36">
      <formula>$C50&lt;$E$3</formula>
    </cfRule>
  </conditionalFormatting>
  <conditionalFormatting sqref="K50:K51">
    <cfRule type="expression" dxfId="1270" priority="32">
      <formula>$C50=$E$3</formula>
    </cfRule>
    <cfRule type="expression" dxfId="1269" priority="33">
      <formula>$C50&lt;$E$3</formula>
    </cfRule>
    <cfRule type="cellIs" dxfId="1268" priority="34" operator="equal">
      <formula>0</formula>
    </cfRule>
    <cfRule type="expression" dxfId="1267" priority="35">
      <formula>$C50&gt;$E$3</formula>
    </cfRule>
  </conditionalFormatting>
  <conditionalFormatting sqref="K50:K51">
    <cfRule type="expression" dxfId="1266" priority="31">
      <formula>$C50&lt;$E$3</formula>
    </cfRule>
  </conditionalFormatting>
  <conditionalFormatting sqref="K50:K51">
    <cfRule type="expression" dxfId="1265" priority="27">
      <formula>$C50=$E$3</formula>
    </cfRule>
    <cfRule type="expression" dxfId="1264" priority="28">
      <formula>$C50&lt;$E$3</formula>
    </cfRule>
    <cfRule type="cellIs" dxfId="1263" priority="29" operator="equal">
      <formula>0</formula>
    </cfRule>
    <cfRule type="expression" dxfId="1262" priority="30">
      <formula>$C50&gt;$E$3</formula>
    </cfRule>
  </conditionalFormatting>
  <conditionalFormatting sqref="K50:K51">
    <cfRule type="expression" dxfId="1261" priority="26">
      <formula>$C50&lt;$E$3</formula>
    </cfRule>
  </conditionalFormatting>
  <conditionalFormatting sqref="K50:K51">
    <cfRule type="expression" dxfId="1260" priority="22">
      <formula>$C50=$E$3</formula>
    </cfRule>
    <cfRule type="expression" dxfId="1259" priority="23">
      <formula>$C50&lt;$E$3</formula>
    </cfRule>
    <cfRule type="cellIs" dxfId="1258" priority="24" operator="equal">
      <formula>0</formula>
    </cfRule>
    <cfRule type="expression" dxfId="1257" priority="25">
      <formula>$C50&gt;$E$3</formula>
    </cfRule>
  </conditionalFormatting>
  <conditionalFormatting sqref="K50:K51">
    <cfRule type="expression" dxfId="1256" priority="21">
      <formula>$E50=""</formula>
    </cfRule>
  </conditionalFormatting>
  <conditionalFormatting sqref="K50:K51">
    <cfRule type="expression" dxfId="1255" priority="20">
      <formula>$C50&lt;$E$3</formula>
    </cfRule>
  </conditionalFormatting>
  <conditionalFormatting sqref="K50:K51">
    <cfRule type="expression" dxfId="1254" priority="19">
      <formula>$E50=""</formula>
    </cfRule>
  </conditionalFormatting>
  <conditionalFormatting sqref="K50:K51">
    <cfRule type="expression" dxfId="1253" priority="18">
      <formula>$E50=""</formula>
    </cfRule>
  </conditionalFormatting>
  <conditionalFormatting sqref="K50:K51">
    <cfRule type="expression" dxfId="1252" priority="17">
      <formula>$C50&lt;$E$3</formula>
    </cfRule>
  </conditionalFormatting>
  <conditionalFormatting sqref="K50:K51">
    <cfRule type="expression" dxfId="1251" priority="16">
      <formula>$E50=""</formula>
    </cfRule>
  </conditionalFormatting>
  <conditionalFormatting sqref="K50:K51">
    <cfRule type="expression" dxfId="1250" priority="15">
      <formula>$C50&lt;$E$3</formula>
    </cfRule>
  </conditionalFormatting>
  <conditionalFormatting sqref="K50:K51">
    <cfRule type="expression" dxfId="1249" priority="14">
      <formula>$E50=""</formula>
    </cfRule>
  </conditionalFormatting>
  <conditionalFormatting sqref="K50:K51">
    <cfRule type="expression" dxfId="1248" priority="13">
      <formula>$C50&lt;$E$3</formula>
    </cfRule>
  </conditionalFormatting>
  <conditionalFormatting sqref="K50:K51">
    <cfRule type="expression" dxfId="1247" priority="12">
      <formula>$E50=""</formula>
    </cfRule>
  </conditionalFormatting>
  <conditionalFormatting sqref="K50:K51">
    <cfRule type="expression" dxfId="1246" priority="10">
      <formula>$C50&lt;$E$3</formula>
    </cfRule>
  </conditionalFormatting>
  <conditionalFormatting sqref="K50:K51">
    <cfRule type="expression" dxfId="1245" priority="7">
      <formula>$C50=$E$3</formula>
    </cfRule>
    <cfRule type="expression" dxfId="1244" priority="8">
      <formula>$C50&lt;$E$3</formula>
    </cfRule>
    <cfRule type="cellIs" dxfId="1243" priority="9" operator="equal">
      <formula>0</formula>
    </cfRule>
    <cfRule type="expression" dxfId="1242" priority="11">
      <formula>$C50&gt;$E$3</formula>
    </cfRule>
  </conditionalFormatting>
  <conditionalFormatting sqref="K50:K51">
    <cfRule type="expression" dxfId="1241" priority="6">
      <formula>$E50=""</formula>
    </cfRule>
  </conditionalFormatting>
  <conditionalFormatting sqref="K50:K51">
    <cfRule type="expression" dxfId="1240" priority="5">
      <formula>$E50=""</formula>
    </cfRule>
  </conditionalFormatting>
  <conditionalFormatting sqref="K50:K51">
    <cfRule type="expression" dxfId="1239" priority="4">
      <formula>$E50=""</formula>
    </cfRule>
  </conditionalFormatting>
  <conditionalFormatting sqref="V50:W51 V5:W20 V23:W29 V32:W38 V41:W47">
    <cfRule type="cellIs" dxfId="1238" priority="1" stopIfTrue="1" operator="lessThan">
      <formula>0</formula>
    </cfRule>
  </conditionalFormatting>
  <conditionalFormatting sqref="Q4:Q51 R5:R11 R14:R20 R23:R29 R32:R38 R41:R47 R50:R51 T50:U51 T41:U47 T32:U38 T23:U29 T14:U20 T5:U11">
    <cfRule type="cellIs" dxfId="1237" priority="2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BB68"/>
  <sheetViews>
    <sheetView zoomScale="75" zoomScaleNormal="75" zoomScalePageLayoutView="75" workbookViewId="0">
      <pane ySplit="4" topLeftCell="A5" activePane="bottomLeft" state="frozen"/>
      <selection activeCell="G1" sqref="G1"/>
      <selection pane="bottomLeft" activeCell="G9" sqref="G9"/>
    </sheetView>
  </sheetViews>
  <sheetFormatPr baseColWidth="10" defaultColWidth="8.83203125" defaultRowHeight="15" x14ac:dyDescent="0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.1640625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.25" customHeight="1" thickBot="1">
      <c r="A1" s="283">
        <v>12</v>
      </c>
      <c r="B1" s="50" t="s">
        <v>0</v>
      </c>
      <c r="C1" s="51" t="s">
        <v>0</v>
      </c>
      <c r="D1" s="51"/>
      <c r="E1" s="363" t="str">
        <f>VLOOKUP(A1,'MY STATS'!$B$29:$E$40,4)</f>
        <v>Dec.</v>
      </c>
      <c r="F1" s="141" t="s">
        <v>78</v>
      </c>
      <c r="G1" s="142" t="s">
        <v>77</v>
      </c>
      <c r="H1" s="143" t="s">
        <v>79</v>
      </c>
      <c r="I1" s="144"/>
      <c r="J1" s="144" t="s">
        <v>113</v>
      </c>
      <c r="K1" s="127" t="s">
        <v>109</v>
      </c>
      <c r="L1" s="142" t="s">
        <v>114</v>
      </c>
      <c r="M1" s="127" t="s">
        <v>110</v>
      </c>
      <c r="N1" s="321" t="s">
        <v>59</v>
      </c>
      <c r="O1" s="244" t="s">
        <v>31</v>
      </c>
      <c r="P1" s="250" t="s">
        <v>32</v>
      </c>
      <c r="Q1" s="250" t="s">
        <v>32</v>
      </c>
      <c r="R1" s="343" t="s">
        <v>38</v>
      </c>
      <c r="S1" s="364" t="s">
        <v>149</v>
      </c>
      <c r="T1" s="343"/>
      <c r="U1" s="343"/>
      <c r="V1" s="343" t="s">
        <v>107</v>
      </c>
      <c r="W1" s="343" t="s">
        <v>108</v>
      </c>
      <c r="X1" s="250" t="s">
        <v>30</v>
      </c>
      <c r="Y1" s="250" t="s">
        <v>27</v>
      </c>
      <c r="Z1" s="250" t="s">
        <v>28</v>
      </c>
      <c r="AA1" s="344" t="s">
        <v>29</v>
      </c>
      <c r="AB1" s="230"/>
      <c r="AC1" s="97"/>
      <c r="AD1" s="97"/>
      <c r="AE1" s="100"/>
      <c r="AF1" s="100"/>
      <c r="AG1" s="100"/>
    </row>
    <row r="2" spans="1:34" ht="32" hidden="1" thickTop="1" thickBot="1">
      <c r="A2" s="95" t="s">
        <v>75</v>
      </c>
      <c r="B2" s="25">
        <f>VLOOKUP(A1,'MY STATS'!$B$29:$G$40,3)</f>
        <v>43435</v>
      </c>
      <c r="D2" s="45"/>
      <c r="E2" s="2" t="s">
        <v>19</v>
      </c>
      <c r="F2" s="95" t="s">
        <v>74</v>
      </c>
      <c r="G2" s="93" t="s">
        <v>61</v>
      </c>
      <c r="H2" s="64" t="s">
        <v>60</v>
      </c>
      <c r="I2" s="64"/>
      <c r="J2" s="64"/>
      <c r="K2" s="64"/>
      <c r="L2" s="64"/>
      <c r="M2" s="64"/>
      <c r="N2" s="322"/>
      <c r="O2" s="345"/>
      <c r="P2" s="230"/>
      <c r="Q2" s="230"/>
      <c r="R2" s="346">
        <f>'MY STATS'!A15</f>
        <v>1</v>
      </c>
      <c r="S2" s="346"/>
      <c r="T2" s="346"/>
      <c r="U2" s="346"/>
      <c r="V2" s="346"/>
      <c r="W2" s="346"/>
      <c r="X2" s="230"/>
      <c r="Y2" s="230"/>
      <c r="Z2" s="234"/>
      <c r="AA2" s="234"/>
      <c r="AB2" s="230"/>
      <c r="AC2" s="97"/>
      <c r="AD2" s="97"/>
      <c r="AE2" s="100"/>
      <c r="AF2" s="100"/>
      <c r="AG2" s="100"/>
    </row>
    <row r="3" spans="1:34" ht="17" hidden="1" thickTop="1" thickBot="1">
      <c r="A3" s="96">
        <f>'MY STATS'!D41</f>
        <v>43466</v>
      </c>
      <c r="B3" s="25">
        <f>VLOOKUP(A1+1,'MY STATS'!$B$29:$G$41,3)-1</f>
        <v>43465</v>
      </c>
      <c r="C3" s="25">
        <f>VLOOKUP(A1,'MY STATS'!$B$29:$G$40,2)</f>
        <v>43430</v>
      </c>
      <c r="D3" s="46"/>
      <c r="E3" s="4">
        <f ca="1">TODAY()</f>
        <v>43138</v>
      </c>
      <c r="F3" s="65">
        <f>'MY STATS'!B$11</f>
        <v>587410.55929510726</v>
      </c>
      <c r="G3" s="65">
        <f>VLOOKUP(A1-1,'MY STATS'!B$28:J$40,9)</f>
        <v>0</v>
      </c>
      <c r="H3" s="66">
        <f>VLOOKUP($A$1-1,'MY STATS'!$B$28:$I$41,8)</f>
        <v>0</v>
      </c>
      <c r="I3" s="66"/>
      <c r="J3" s="66"/>
      <c r="K3" s="66"/>
      <c r="L3" s="65"/>
      <c r="M3" s="65"/>
      <c r="N3" s="323"/>
      <c r="O3" s="345"/>
      <c r="P3" s="230"/>
      <c r="Q3" s="230"/>
      <c r="R3" s="346"/>
      <c r="S3" s="346"/>
      <c r="T3" s="346"/>
      <c r="U3" s="346"/>
      <c r="V3" s="346"/>
      <c r="W3" s="346"/>
      <c r="X3" s="230"/>
      <c r="Y3" s="230"/>
      <c r="Z3" s="234"/>
      <c r="AA3" s="234"/>
      <c r="AB3" s="230"/>
      <c r="AC3" s="97"/>
      <c r="AD3" s="97"/>
      <c r="AE3" s="100"/>
      <c r="AF3" s="100"/>
      <c r="AG3" s="100"/>
    </row>
    <row r="4" spans="1:34" ht="14" hidden="1" customHeight="1" thickTop="1" thickBot="1">
      <c r="A4" s="3"/>
      <c r="C4" s="37">
        <f>C3-1</f>
        <v>43429</v>
      </c>
      <c r="D4" s="3"/>
      <c r="O4" s="347"/>
      <c r="P4" s="260">
        <f t="shared" ref="P4:P11" si="0">H$56</f>
        <v>587409.48315759108</v>
      </c>
      <c r="Q4" s="169">
        <f>IF(R$2=3,P4,IF(R$2=2,P4*1.0936,IF(R$2=1,P4*0.000568181818*1.0936133,"")))</f>
        <v>364.9993313191477</v>
      </c>
      <c r="R4" s="246"/>
      <c r="S4" s="246"/>
      <c r="T4" s="246"/>
      <c r="U4" s="246"/>
      <c r="V4" s="246"/>
      <c r="W4" s="246"/>
      <c r="X4" s="260"/>
      <c r="Y4" s="260"/>
      <c r="Z4" s="259">
        <v>0</v>
      </c>
      <c r="AA4" s="234"/>
      <c r="AB4" s="230">
        <v>0</v>
      </c>
      <c r="AC4" s="97"/>
      <c r="AD4" s="97"/>
      <c r="AE4" s="100"/>
      <c r="AF4" s="100"/>
      <c r="AG4" s="100"/>
    </row>
    <row r="5" spans="1:34" ht="16" thickTop="1">
      <c r="A5" s="26" t="s">
        <v>8</v>
      </c>
      <c r="B5" s="23">
        <f>IF(B$2&gt;C5,0,C5)</f>
        <v>0</v>
      </c>
      <c r="C5" s="37">
        <f>C3</f>
        <v>43430</v>
      </c>
      <c r="D5" s="24">
        <f t="shared" ref="D5:D51" ca="1" si="1">TODAY()-C5</f>
        <v>-292</v>
      </c>
      <c r="E5" s="115" t="str">
        <f>IF(B5=0,"","Monday")</f>
        <v/>
      </c>
      <c r="F5" s="55"/>
      <c r="G5" s="56"/>
      <c r="H5" s="56"/>
      <c r="I5" s="199"/>
      <c r="J5" s="56"/>
      <c r="K5" s="201" t="str">
        <f t="shared" ref="K5" si="2">IF(R5=0,"",IF(L5="","",J5))</f>
        <v/>
      </c>
      <c r="L5" s="56"/>
      <c r="M5" s="56" t="str">
        <f>IF(R5=0,"",IF(J5="","",L5))</f>
        <v/>
      </c>
      <c r="N5" s="324"/>
      <c r="O5" s="259" t="str">
        <f t="shared" ref="O5:O51" si="3">IF(B5=0,"",(F$3-G$3)/(A$3-B$2)+0.1)</f>
        <v/>
      </c>
      <c r="P5" s="260">
        <f t="shared" si="0"/>
        <v>587409.48315759108</v>
      </c>
      <c r="Q5" s="169">
        <f t="shared" ref="Q5:Q51" si="4">IF(R$2=3,P5,IF(R$2=2,P5*1.0936,IF(R$2=1,P5*0.000568181818*1.0936133,"")))</f>
        <v>364.9993313191477</v>
      </c>
      <c r="R5" s="169">
        <f>IF(R$2=3,H5+G5/1.0936133+F5/0.0006213712,IF(R$2=2,H5*1.0936133+G5+F5/0.0005681818,IF(R$2=1,H5*0.0005681818*1.0936133+G5*0.0005681818+F5,"")))</f>
        <v>0</v>
      </c>
      <c r="S5" s="368" t="str">
        <f>IF(R5=0,"",R5*IF(L5&gt;0,1,0))</f>
        <v/>
      </c>
      <c r="T5" s="169"/>
      <c r="U5" s="169"/>
      <c r="V5" s="170" t="str">
        <f t="shared" ref="V5:V11" si="5">IF(L5="","",IF(R5=0,"",IF(B5=0,"",IF($R$2=3,R5/L5*60/1000,IF($R$2=2,R5/L5*60/1760,IF($R$2=1,R5/L5*60,""))))))</f>
        <v/>
      </c>
      <c r="W5" s="170" t="str">
        <f t="shared" ref="W5:W11" si="6">IF(R5=0,"",IF(L5="","",V5*L5))</f>
        <v/>
      </c>
      <c r="X5" s="259">
        <f t="shared" ref="X5:Z11" si="7">F5+X4</f>
        <v>0</v>
      </c>
      <c r="Y5" s="259">
        <f t="shared" si="7"/>
        <v>0</v>
      </c>
      <c r="Z5" s="259">
        <f t="shared" si="7"/>
        <v>0</v>
      </c>
      <c r="AA5" s="348">
        <f t="shared" ref="AA5:AA51" si="8">Z5/1000+Y5/1093.6133+X5/0.621371192</f>
        <v>0</v>
      </c>
      <c r="AB5" s="349">
        <f>R5</f>
        <v>0</v>
      </c>
      <c r="AC5" s="97"/>
      <c r="AD5" s="97"/>
      <c r="AE5" s="100"/>
      <c r="AF5" s="100"/>
      <c r="AG5" s="100"/>
    </row>
    <row r="6" spans="1:34">
      <c r="A6" s="27"/>
      <c r="B6" s="5">
        <f t="shared" ref="B6:B11" si="9">IF(B$2&gt;C6,0,C6)</f>
        <v>0</v>
      </c>
      <c r="C6" s="38">
        <f>C3+1</f>
        <v>43431</v>
      </c>
      <c r="D6" s="7">
        <f t="shared" ca="1" si="1"/>
        <v>-293</v>
      </c>
      <c r="E6" s="114" t="str">
        <f>IF(B6=0,"","Tuesday")</f>
        <v/>
      </c>
      <c r="F6" s="55"/>
      <c r="G6" s="56"/>
      <c r="H6" s="56"/>
      <c r="I6" s="200"/>
      <c r="J6" s="56"/>
      <c r="K6" s="201" t="str">
        <f>IF(R6=0,"",IF(L6="","",J6))</f>
        <v/>
      </c>
      <c r="L6" s="56"/>
      <c r="M6" s="56" t="str">
        <f t="shared" ref="M6:M11" si="10">IF(R6=0,"",IF(J6="","",L6))</f>
        <v/>
      </c>
      <c r="N6" s="324"/>
      <c r="O6" s="259" t="str">
        <f t="shared" si="3"/>
        <v/>
      </c>
      <c r="P6" s="260">
        <f t="shared" si="0"/>
        <v>587409.48315759108</v>
      </c>
      <c r="Q6" s="169">
        <f t="shared" si="4"/>
        <v>364.9993313191477</v>
      </c>
      <c r="R6" s="169">
        <f t="shared" ref="R6:R11" si="11">IF(R$2=3,H6+G6/1.0936133+F6/0.0006213712,IF(R$2=2,H6*1.0936133+G6+F6/0.0005681818,IF(R$2=1,H6*0.0005681818*1.0936133+G6*0.0005681818+F6,"")))</f>
        <v>0</v>
      </c>
      <c r="S6" s="368" t="str">
        <f t="shared" ref="S6:S51" si="12">IF(R6=0,"",R6*IF(L6&gt;0,1,0))</f>
        <v/>
      </c>
      <c r="T6" s="169"/>
      <c r="U6" s="169"/>
      <c r="V6" s="170" t="str">
        <f t="shared" si="5"/>
        <v/>
      </c>
      <c r="W6" s="170" t="str">
        <f t="shared" si="6"/>
        <v/>
      </c>
      <c r="X6" s="259">
        <f t="shared" si="7"/>
        <v>0</v>
      </c>
      <c r="Y6" s="259">
        <f t="shared" si="7"/>
        <v>0</v>
      </c>
      <c r="Z6" s="259">
        <f t="shared" si="7"/>
        <v>0</v>
      </c>
      <c r="AA6" s="348">
        <f t="shared" si="8"/>
        <v>0</v>
      </c>
      <c r="AB6" s="274">
        <f t="shared" ref="AB6:AB51" si="13">AB5+R6</f>
        <v>0</v>
      </c>
      <c r="AC6" s="97"/>
      <c r="AD6" s="97"/>
      <c r="AE6" s="100"/>
      <c r="AF6" s="100"/>
      <c r="AG6" s="100"/>
      <c r="AH6" s="10"/>
    </row>
    <row r="7" spans="1:34">
      <c r="A7" s="27"/>
      <c r="B7" s="5">
        <f t="shared" si="9"/>
        <v>0</v>
      </c>
      <c r="C7" s="38">
        <f>C3+2</f>
        <v>43432</v>
      </c>
      <c r="D7" s="7">
        <f t="shared" ca="1" si="1"/>
        <v>-294</v>
      </c>
      <c r="E7" s="114" t="str">
        <f>IF(B7=0,"","Wednesday")</f>
        <v/>
      </c>
      <c r="F7" s="55"/>
      <c r="G7" s="56"/>
      <c r="H7" s="56"/>
      <c r="I7" s="200"/>
      <c r="J7" s="56"/>
      <c r="K7" s="201" t="str">
        <f t="shared" ref="K7:K11" si="14">IF(R7=0,"",IF(L7="","",J7))</f>
        <v/>
      </c>
      <c r="L7" s="56"/>
      <c r="M7" s="56" t="str">
        <f t="shared" si="10"/>
        <v/>
      </c>
      <c r="N7" s="325"/>
      <c r="O7" s="259" t="str">
        <f t="shared" si="3"/>
        <v/>
      </c>
      <c r="P7" s="260">
        <f t="shared" si="0"/>
        <v>587409.48315759108</v>
      </c>
      <c r="Q7" s="169">
        <f t="shared" si="4"/>
        <v>364.9993313191477</v>
      </c>
      <c r="R7" s="169">
        <f t="shared" si="11"/>
        <v>0</v>
      </c>
      <c r="S7" s="368" t="str">
        <f t="shared" si="12"/>
        <v/>
      </c>
      <c r="T7" s="169"/>
      <c r="U7" s="169"/>
      <c r="V7" s="170" t="str">
        <f t="shared" si="5"/>
        <v/>
      </c>
      <c r="W7" s="170" t="str">
        <f t="shared" si="6"/>
        <v/>
      </c>
      <c r="X7" s="259">
        <f t="shared" si="7"/>
        <v>0</v>
      </c>
      <c r="Y7" s="259">
        <f t="shared" si="7"/>
        <v>0</v>
      </c>
      <c r="Z7" s="259">
        <f t="shared" si="7"/>
        <v>0</v>
      </c>
      <c r="AA7" s="348">
        <f t="shared" si="8"/>
        <v>0</v>
      </c>
      <c r="AB7" s="274">
        <f t="shared" si="13"/>
        <v>0</v>
      </c>
      <c r="AC7" s="97"/>
      <c r="AD7" s="97"/>
      <c r="AE7" s="100"/>
      <c r="AF7" s="100"/>
      <c r="AG7" s="100"/>
    </row>
    <row r="8" spans="1:34">
      <c r="A8" s="27"/>
      <c r="B8" s="5">
        <f t="shared" si="9"/>
        <v>0</v>
      </c>
      <c r="C8" s="38">
        <f>C3+3</f>
        <v>43433</v>
      </c>
      <c r="D8" s="7">
        <f t="shared" ca="1" si="1"/>
        <v>-295</v>
      </c>
      <c r="E8" s="114" t="str">
        <f>IF(B8=0,"","Thursday")</f>
        <v/>
      </c>
      <c r="F8" s="55"/>
      <c r="G8" s="56"/>
      <c r="H8" s="56"/>
      <c r="I8" s="200"/>
      <c r="J8" s="56"/>
      <c r="K8" s="201" t="str">
        <f t="shared" si="14"/>
        <v/>
      </c>
      <c r="L8" s="56"/>
      <c r="M8" s="56" t="str">
        <f t="shared" si="10"/>
        <v/>
      </c>
      <c r="N8" s="325"/>
      <c r="O8" s="259" t="str">
        <f t="shared" si="3"/>
        <v/>
      </c>
      <c r="P8" s="260">
        <f t="shared" si="0"/>
        <v>587409.48315759108</v>
      </c>
      <c r="Q8" s="169">
        <f t="shared" si="4"/>
        <v>364.9993313191477</v>
      </c>
      <c r="R8" s="169">
        <f t="shared" si="11"/>
        <v>0</v>
      </c>
      <c r="S8" s="368" t="str">
        <f t="shared" si="12"/>
        <v/>
      </c>
      <c r="T8" s="169"/>
      <c r="U8" s="169"/>
      <c r="V8" s="170" t="str">
        <f t="shared" si="5"/>
        <v/>
      </c>
      <c r="W8" s="170" t="str">
        <f t="shared" si="6"/>
        <v/>
      </c>
      <c r="X8" s="259">
        <f t="shared" si="7"/>
        <v>0</v>
      </c>
      <c r="Y8" s="259">
        <f t="shared" si="7"/>
        <v>0</v>
      </c>
      <c r="Z8" s="259">
        <f t="shared" si="7"/>
        <v>0</v>
      </c>
      <c r="AA8" s="348">
        <f t="shared" si="8"/>
        <v>0</v>
      </c>
      <c r="AB8" s="274">
        <f t="shared" si="13"/>
        <v>0</v>
      </c>
      <c r="AC8" s="97"/>
      <c r="AD8" s="97"/>
      <c r="AE8" s="100"/>
      <c r="AF8" s="100"/>
      <c r="AG8" s="100"/>
    </row>
    <row r="9" spans="1:34">
      <c r="A9" s="27"/>
      <c r="B9" s="5">
        <f t="shared" si="9"/>
        <v>0</v>
      </c>
      <c r="C9" s="38">
        <f>C3+4</f>
        <v>43434</v>
      </c>
      <c r="D9" s="7">
        <f t="shared" ca="1" si="1"/>
        <v>-296</v>
      </c>
      <c r="E9" s="114" t="str">
        <f>IF(B9=0,"","Friday")</f>
        <v/>
      </c>
      <c r="F9" s="55"/>
      <c r="G9" s="56"/>
      <c r="H9" s="56"/>
      <c r="I9" s="200"/>
      <c r="J9" s="56"/>
      <c r="K9" s="201" t="str">
        <f t="shared" si="14"/>
        <v/>
      </c>
      <c r="L9" s="56"/>
      <c r="M9" s="56" t="str">
        <f t="shared" si="10"/>
        <v/>
      </c>
      <c r="N9" s="324"/>
      <c r="O9" s="259" t="str">
        <f t="shared" si="3"/>
        <v/>
      </c>
      <c r="P9" s="260">
        <f t="shared" si="0"/>
        <v>587409.48315759108</v>
      </c>
      <c r="Q9" s="169">
        <f t="shared" si="4"/>
        <v>364.9993313191477</v>
      </c>
      <c r="R9" s="169">
        <f t="shared" si="11"/>
        <v>0</v>
      </c>
      <c r="S9" s="368" t="str">
        <f t="shared" si="12"/>
        <v/>
      </c>
      <c r="T9" s="169"/>
      <c r="U9" s="169"/>
      <c r="V9" s="170" t="str">
        <f t="shared" si="5"/>
        <v/>
      </c>
      <c r="W9" s="170" t="str">
        <f t="shared" si="6"/>
        <v/>
      </c>
      <c r="X9" s="259">
        <f t="shared" si="7"/>
        <v>0</v>
      </c>
      <c r="Y9" s="259">
        <f t="shared" si="7"/>
        <v>0</v>
      </c>
      <c r="Z9" s="259">
        <f t="shared" si="7"/>
        <v>0</v>
      </c>
      <c r="AA9" s="348">
        <f t="shared" si="8"/>
        <v>0</v>
      </c>
      <c r="AB9" s="274">
        <f t="shared" si="13"/>
        <v>0</v>
      </c>
      <c r="AC9" s="97"/>
      <c r="AD9" s="97"/>
      <c r="AE9" s="100"/>
      <c r="AF9" s="100"/>
      <c r="AG9" s="100"/>
    </row>
    <row r="10" spans="1:34">
      <c r="A10" s="27"/>
      <c r="B10" s="5">
        <f t="shared" si="9"/>
        <v>43435</v>
      </c>
      <c r="C10" s="38">
        <f>C3+5</f>
        <v>43435</v>
      </c>
      <c r="D10" s="7">
        <f t="shared" ca="1" si="1"/>
        <v>-297</v>
      </c>
      <c r="E10" s="114" t="str">
        <f>IF(B10=0,"","Saturday")</f>
        <v>Saturday</v>
      </c>
      <c r="F10" s="55"/>
      <c r="G10" s="56"/>
      <c r="H10" s="56"/>
      <c r="I10" s="200"/>
      <c r="J10" s="56"/>
      <c r="K10" s="201" t="str">
        <f t="shared" si="14"/>
        <v/>
      </c>
      <c r="L10" s="56"/>
      <c r="M10" s="56" t="str">
        <f t="shared" si="10"/>
        <v/>
      </c>
      <c r="N10" s="324"/>
      <c r="O10" s="259">
        <f t="shared" si="3"/>
        <v>18948.827719197008</v>
      </c>
      <c r="P10" s="260">
        <f t="shared" si="0"/>
        <v>587409.48315759108</v>
      </c>
      <c r="Q10" s="169">
        <f t="shared" si="4"/>
        <v>364.9993313191477</v>
      </c>
      <c r="R10" s="169">
        <f t="shared" si="11"/>
        <v>0</v>
      </c>
      <c r="S10" s="368" t="str">
        <f t="shared" si="12"/>
        <v/>
      </c>
      <c r="T10" s="169"/>
      <c r="U10" s="169"/>
      <c r="V10" s="170" t="str">
        <f t="shared" si="5"/>
        <v/>
      </c>
      <c r="W10" s="170" t="str">
        <f t="shared" si="6"/>
        <v/>
      </c>
      <c r="X10" s="259">
        <f t="shared" si="7"/>
        <v>0</v>
      </c>
      <c r="Y10" s="259">
        <f t="shared" si="7"/>
        <v>0</v>
      </c>
      <c r="Z10" s="259">
        <f t="shared" si="7"/>
        <v>0</v>
      </c>
      <c r="AA10" s="348">
        <f t="shared" si="8"/>
        <v>0</v>
      </c>
      <c r="AB10" s="274">
        <f t="shared" si="13"/>
        <v>0</v>
      </c>
      <c r="AC10" s="97"/>
      <c r="AD10" s="97"/>
      <c r="AE10" s="100"/>
      <c r="AF10" s="100"/>
      <c r="AG10" s="100"/>
    </row>
    <row r="11" spans="1:34" ht="16" thickBot="1">
      <c r="A11" s="27"/>
      <c r="B11" s="53">
        <f t="shared" si="9"/>
        <v>43436</v>
      </c>
      <c r="C11" s="41">
        <f>C3+6</f>
        <v>43436</v>
      </c>
      <c r="D11" s="54">
        <f t="shared" ca="1" si="1"/>
        <v>-298</v>
      </c>
      <c r="E11" s="117" t="str">
        <f>IF(B11=0,"","Sunday")</f>
        <v>Sunday</v>
      </c>
      <c r="F11" s="55"/>
      <c r="G11" s="56"/>
      <c r="H11" s="56"/>
      <c r="I11" s="200"/>
      <c r="J11" s="56"/>
      <c r="K11" s="201" t="str">
        <f t="shared" si="14"/>
        <v/>
      </c>
      <c r="L11" s="56"/>
      <c r="M11" s="56" t="str">
        <f t="shared" si="10"/>
        <v/>
      </c>
      <c r="N11" s="326"/>
      <c r="O11" s="259">
        <f t="shared" si="3"/>
        <v>18948.827719197008</v>
      </c>
      <c r="P11" s="260">
        <f t="shared" si="0"/>
        <v>587409.48315759108</v>
      </c>
      <c r="Q11" s="169">
        <f t="shared" si="4"/>
        <v>364.9993313191477</v>
      </c>
      <c r="R11" s="169">
        <f t="shared" si="11"/>
        <v>0</v>
      </c>
      <c r="S11" s="368" t="str">
        <f t="shared" si="12"/>
        <v/>
      </c>
      <c r="T11" s="169"/>
      <c r="U11" s="169"/>
      <c r="V11" s="170" t="str">
        <f t="shared" si="5"/>
        <v/>
      </c>
      <c r="W11" s="170" t="str">
        <f t="shared" si="6"/>
        <v/>
      </c>
      <c r="X11" s="259">
        <f t="shared" si="7"/>
        <v>0</v>
      </c>
      <c r="Y11" s="259">
        <f t="shared" si="7"/>
        <v>0</v>
      </c>
      <c r="Z11" s="259">
        <f t="shared" si="7"/>
        <v>0</v>
      </c>
      <c r="AA11" s="348">
        <f t="shared" si="8"/>
        <v>0</v>
      </c>
      <c r="AB11" s="274">
        <f t="shared" si="13"/>
        <v>0</v>
      </c>
      <c r="AC11" s="97"/>
      <c r="AD11" s="97"/>
      <c r="AE11" s="100"/>
      <c r="AF11" s="100"/>
      <c r="AG11" s="100"/>
    </row>
    <row r="12" spans="1:34" ht="16" thickTop="1">
      <c r="A12" s="29"/>
      <c r="B12" s="16"/>
      <c r="C12" s="42"/>
      <c r="D12" s="60">
        <f ca="1">TODAY()-C12</f>
        <v>43138</v>
      </c>
      <c r="E12" s="113" t="s">
        <v>76</v>
      </c>
      <c r="F12" s="59">
        <f ca="1">G12*0.000568181818</f>
        <v>0</v>
      </c>
      <c r="G12" s="19">
        <f ca="1">H12*1.0936113</f>
        <v>0</v>
      </c>
      <c r="H12" s="129">
        <f ca="1">IF(TODAY()&gt;=B5,AA11*1000,-2E-55)</f>
        <v>0</v>
      </c>
      <c r="I12" s="135"/>
      <c r="J12" s="443" t="s">
        <v>121</v>
      </c>
      <c r="K12" s="444"/>
      <c r="L12" s="444"/>
      <c r="M12" s="444"/>
      <c r="N12" s="444"/>
      <c r="O12" s="259" t="str">
        <f t="shared" si="3"/>
        <v/>
      </c>
      <c r="P12" s="260"/>
      <c r="Q12" s="169">
        <f t="shared" si="4"/>
        <v>0</v>
      </c>
      <c r="R12" s="350"/>
      <c r="S12" s="368" t="str">
        <f t="shared" si="12"/>
        <v/>
      </c>
      <c r="T12" s="350"/>
      <c r="U12" s="350"/>
      <c r="V12" s="350"/>
      <c r="W12" s="350"/>
      <c r="X12" s="260"/>
      <c r="Y12" s="260"/>
      <c r="Z12" s="234"/>
      <c r="AA12" s="348">
        <f t="shared" si="8"/>
        <v>0</v>
      </c>
      <c r="AB12" s="274">
        <f t="shared" si="13"/>
        <v>0</v>
      </c>
      <c r="AC12" s="97"/>
      <c r="AD12" s="97"/>
      <c r="AE12" s="100"/>
      <c r="AF12" s="100"/>
      <c r="AG12" s="100"/>
    </row>
    <row r="13" spans="1:34" ht="16" thickBot="1">
      <c r="A13" s="28"/>
      <c r="B13" s="17"/>
      <c r="C13" s="39"/>
      <c r="D13" s="61">
        <f ca="1">TODAY()-C13</f>
        <v>43138</v>
      </c>
      <c r="E13" s="116" t="s">
        <v>33</v>
      </c>
      <c r="F13" s="62">
        <f>G13*0.0005681818</f>
        <v>23.548467559479786</v>
      </c>
      <c r="G13" s="63">
        <f>H13*1.0936113</f>
        <v>41445.304230934154</v>
      </c>
      <c r="H13" s="130">
        <f>SUM($O5:$O11)</f>
        <v>37897.655438394017</v>
      </c>
      <c r="I13" s="136"/>
      <c r="J13" s="445" t="str">
        <f>IF(R$2=1,"MILES &amp; mph",IF(R$2=2,"YARDS &amp; mph",IF(R$2=3,"METRES &amp; km/h","????")))</f>
        <v>MILES &amp; mph</v>
      </c>
      <c r="K13" s="446"/>
      <c r="L13" s="446"/>
      <c r="M13" s="446"/>
      <c r="N13" s="446"/>
      <c r="O13" s="259" t="str">
        <f t="shared" si="3"/>
        <v/>
      </c>
      <c r="P13" s="260"/>
      <c r="Q13" s="169">
        <f t="shared" si="4"/>
        <v>0</v>
      </c>
      <c r="R13" s="351"/>
      <c r="S13" s="368" t="str">
        <f t="shared" si="12"/>
        <v/>
      </c>
      <c r="T13" s="351"/>
      <c r="U13" s="351"/>
      <c r="V13" s="351"/>
      <c r="W13" s="351"/>
      <c r="X13" s="260"/>
      <c r="Y13" s="260"/>
      <c r="Z13" s="234"/>
      <c r="AA13" s="348">
        <f t="shared" si="8"/>
        <v>0</v>
      </c>
      <c r="AB13" s="274">
        <f t="shared" si="13"/>
        <v>0</v>
      </c>
      <c r="AC13" s="97"/>
      <c r="AD13" s="97"/>
      <c r="AE13" s="100"/>
      <c r="AF13" s="100"/>
      <c r="AG13" s="100"/>
    </row>
    <row r="14" spans="1:34" ht="16" thickTop="1">
      <c r="A14" s="1" t="s">
        <v>9</v>
      </c>
      <c r="B14" s="57">
        <f t="shared" ref="B14:B20" si="15">IF(B$2&gt;C14,0,C14)</f>
        <v>43437</v>
      </c>
      <c r="C14" s="40">
        <f>C11+1</f>
        <v>43437</v>
      </c>
      <c r="D14" s="22">
        <f t="shared" ca="1" si="1"/>
        <v>-299</v>
      </c>
      <c r="E14" s="118" t="s">
        <v>1</v>
      </c>
      <c r="F14" s="55"/>
      <c r="G14" s="56"/>
      <c r="H14" s="56"/>
      <c r="I14" s="136"/>
      <c r="J14" s="128"/>
      <c r="K14" s="201" t="str">
        <f t="shared" ref="K14" si="16">IF(R14=0,"",IF(L14="","",J14))</f>
        <v/>
      </c>
      <c r="L14" s="128"/>
      <c r="M14" s="56" t="str">
        <f>IF(R14=0,"",IF(J14="","",L14))</f>
        <v/>
      </c>
      <c r="N14" s="327"/>
      <c r="O14" s="259">
        <f t="shared" si="3"/>
        <v>18948.827719197008</v>
      </c>
      <c r="P14" s="260">
        <f t="shared" ref="P14:P20" si="17">H$56</f>
        <v>587409.48315759108</v>
      </c>
      <c r="Q14" s="169">
        <f t="shared" si="4"/>
        <v>364.9993313191477</v>
      </c>
      <c r="R14" s="169">
        <f>IF(R$2=3,H14+G14/1.0936133+F14/0.0006213712,IF(R$2=2,H14*1.0936133+G14+F14/0.0005681818,IF(R$2=1,H14*0.0005681818*1.0936133+G14*0.0005681818+F14,"")))</f>
        <v>0</v>
      </c>
      <c r="S14" s="368" t="str">
        <f t="shared" si="12"/>
        <v/>
      </c>
      <c r="T14" s="169"/>
      <c r="U14" s="169"/>
      <c r="V14" s="170" t="str">
        <f t="shared" ref="V14:V20" si="18">IF(L14="","",IF(R14=0,"",IF(B14=0,"",IF($R$2=3,R14/L14*60/1000,IF($R$2=2,R14/L14*60/1760,IF($R$2=1,R14/L14*60,""))))))</f>
        <v/>
      </c>
      <c r="W14" s="170" t="str">
        <f t="shared" ref="W14:W20" si="19">IF(R14=0,"",IF(L14="","",V14*L14))</f>
        <v/>
      </c>
      <c r="X14" s="259">
        <f>F14+X11</f>
        <v>0</v>
      </c>
      <c r="Y14" s="259">
        <f>G14+Y11</f>
        <v>0</v>
      </c>
      <c r="Z14" s="259">
        <f>H14+Z11</f>
        <v>0</v>
      </c>
      <c r="AA14" s="348">
        <f t="shared" si="8"/>
        <v>0</v>
      </c>
      <c r="AB14" s="274">
        <f t="shared" si="13"/>
        <v>0</v>
      </c>
      <c r="AC14" s="97"/>
      <c r="AD14" s="97"/>
      <c r="AE14" s="100"/>
      <c r="AF14" s="100"/>
      <c r="AG14" s="100"/>
    </row>
    <row r="15" spans="1:34">
      <c r="A15" s="1"/>
      <c r="B15" s="5">
        <f t="shared" si="15"/>
        <v>43438</v>
      </c>
      <c r="C15" s="38">
        <f t="shared" ref="C15:C20" si="20">C14+1</f>
        <v>43438</v>
      </c>
      <c r="D15" s="7">
        <f t="shared" ca="1" si="1"/>
        <v>-300</v>
      </c>
      <c r="E15" s="114" t="s">
        <v>2</v>
      </c>
      <c r="F15" s="55"/>
      <c r="G15" s="56"/>
      <c r="H15" s="56"/>
      <c r="I15" s="200"/>
      <c r="J15" s="56"/>
      <c r="K15" s="201" t="str">
        <f>IF(R15=0,"",IF(L15="","",J15))</f>
        <v/>
      </c>
      <c r="L15" s="56"/>
      <c r="M15" s="56" t="str">
        <f t="shared" ref="M15:M20" si="21">IF(R15=0,"",IF(J15="","",L15))</f>
        <v/>
      </c>
      <c r="N15" s="328"/>
      <c r="O15" s="259">
        <f t="shared" si="3"/>
        <v>18948.827719197008</v>
      </c>
      <c r="P15" s="260">
        <f t="shared" si="17"/>
        <v>587409.48315759108</v>
      </c>
      <c r="Q15" s="169">
        <f t="shared" si="4"/>
        <v>364.9993313191477</v>
      </c>
      <c r="R15" s="169">
        <f t="shared" ref="R15:R20" si="22">IF(R$2=3,H15+G15/1.0936133+F15/0.0006213712,IF(R$2=2,H15*1.0936133+G15+F15/0.0005681818,IF(R$2=1,H15*0.0005681818*1.0936133+G15*0.0005681818+F15,"")))</f>
        <v>0</v>
      </c>
      <c r="S15" s="368" t="str">
        <f t="shared" si="12"/>
        <v/>
      </c>
      <c r="T15" s="169"/>
      <c r="U15" s="169"/>
      <c r="V15" s="170" t="str">
        <f t="shared" si="18"/>
        <v/>
      </c>
      <c r="W15" s="170" t="str">
        <f t="shared" si="19"/>
        <v/>
      </c>
      <c r="X15" s="259">
        <f t="shared" ref="X15:Z20" si="23">F15+X14</f>
        <v>0</v>
      </c>
      <c r="Y15" s="259">
        <f t="shared" si="23"/>
        <v>0</v>
      </c>
      <c r="Z15" s="259">
        <f t="shared" si="23"/>
        <v>0</v>
      </c>
      <c r="AA15" s="348">
        <f t="shared" si="8"/>
        <v>0</v>
      </c>
      <c r="AB15" s="274">
        <f t="shared" si="13"/>
        <v>0</v>
      </c>
      <c r="AC15" s="97"/>
      <c r="AD15" s="97"/>
      <c r="AE15" s="100"/>
      <c r="AF15" s="100"/>
      <c r="AG15" s="100"/>
    </row>
    <row r="16" spans="1:34">
      <c r="A16" s="1"/>
      <c r="B16" s="5">
        <f t="shared" si="15"/>
        <v>43439</v>
      </c>
      <c r="C16" s="38">
        <f t="shared" si="20"/>
        <v>43439</v>
      </c>
      <c r="D16" s="7">
        <f t="shared" ca="1" si="1"/>
        <v>-301</v>
      </c>
      <c r="E16" s="114" t="s">
        <v>3</v>
      </c>
      <c r="F16" s="55"/>
      <c r="G16" s="56"/>
      <c r="H16" s="56"/>
      <c r="I16" s="200"/>
      <c r="J16" s="56"/>
      <c r="K16" s="201" t="str">
        <f t="shared" ref="K16:K20" si="24">IF(R16=0,"",IF(L16="","",J16))</f>
        <v/>
      </c>
      <c r="L16" s="56"/>
      <c r="M16" s="56" t="str">
        <f t="shared" si="21"/>
        <v/>
      </c>
      <c r="N16" s="328"/>
      <c r="O16" s="259">
        <f t="shared" si="3"/>
        <v>18948.827719197008</v>
      </c>
      <c r="P16" s="260">
        <f t="shared" si="17"/>
        <v>587409.48315759108</v>
      </c>
      <c r="Q16" s="169">
        <f t="shared" si="4"/>
        <v>364.9993313191477</v>
      </c>
      <c r="R16" s="169">
        <f t="shared" si="22"/>
        <v>0</v>
      </c>
      <c r="S16" s="368" t="str">
        <f t="shared" si="12"/>
        <v/>
      </c>
      <c r="T16" s="169"/>
      <c r="U16" s="169"/>
      <c r="V16" s="170" t="str">
        <f t="shared" si="18"/>
        <v/>
      </c>
      <c r="W16" s="170" t="str">
        <f t="shared" si="19"/>
        <v/>
      </c>
      <c r="X16" s="259">
        <f t="shared" si="23"/>
        <v>0</v>
      </c>
      <c r="Y16" s="259">
        <f t="shared" si="23"/>
        <v>0</v>
      </c>
      <c r="Z16" s="259">
        <f t="shared" si="23"/>
        <v>0</v>
      </c>
      <c r="AA16" s="348">
        <f t="shared" si="8"/>
        <v>0</v>
      </c>
      <c r="AB16" s="274">
        <f t="shared" si="13"/>
        <v>0</v>
      </c>
      <c r="AC16" s="97"/>
      <c r="AD16" s="97"/>
      <c r="AE16" s="100"/>
      <c r="AF16" s="100"/>
      <c r="AG16" s="100"/>
    </row>
    <row r="17" spans="1:33">
      <c r="A17" s="1"/>
      <c r="B17" s="5">
        <f t="shared" si="15"/>
        <v>43440</v>
      </c>
      <c r="C17" s="38">
        <f t="shared" si="20"/>
        <v>43440</v>
      </c>
      <c r="D17" s="7">
        <f t="shared" ca="1" si="1"/>
        <v>-302</v>
      </c>
      <c r="E17" s="114" t="s">
        <v>4</v>
      </c>
      <c r="F17" s="55"/>
      <c r="G17" s="56"/>
      <c r="H17" s="56"/>
      <c r="I17" s="200"/>
      <c r="J17" s="56"/>
      <c r="K17" s="201" t="str">
        <f t="shared" si="24"/>
        <v/>
      </c>
      <c r="L17" s="56"/>
      <c r="M17" s="56" t="str">
        <f t="shared" si="21"/>
        <v/>
      </c>
      <c r="N17" s="328"/>
      <c r="O17" s="259">
        <f t="shared" si="3"/>
        <v>18948.827719197008</v>
      </c>
      <c r="P17" s="260">
        <f t="shared" si="17"/>
        <v>587409.48315759108</v>
      </c>
      <c r="Q17" s="169">
        <f t="shared" si="4"/>
        <v>364.9993313191477</v>
      </c>
      <c r="R17" s="169">
        <f t="shared" si="22"/>
        <v>0</v>
      </c>
      <c r="S17" s="368" t="str">
        <f t="shared" si="12"/>
        <v/>
      </c>
      <c r="T17" s="169"/>
      <c r="U17" s="169"/>
      <c r="V17" s="170" t="str">
        <f t="shared" si="18"/>
        <v/>
      </c>
      <c r="W17" s="170" t="str">
        <f t="shared" si="19"/>
        <v/>
      </c>
      <c r="X17" s="259">
        <f t="shared" si="23"/>
        <v>0</v>
      </c>
      <c r="Y17" s="259">
        <f t="shared" si="23"/>
        <v>0</v>
      </c>
      <c r="Z17" s="259">
        <f t="shared" si="23"/>
        <v>0</v>
      </c>
      <c r="AA17" s="348">
        <f t="shared" si="8"/>
        <v>0</v>
      </c>
      <c r="AB17" s="274">
        <f t="shared" si="13"/>
        <v>0</v>
      </c>
      <c r="AC17" s="97"/>
      <c r="AD17" s="97"/>
      <c r="AE17" s="100"/>
      <c r="AF17" s="100"/>
      <c r="AG17" s="100"/>
    </row>
    <row r="18" spans="1:33">
      <c r="A18" s="1"/>
      <c r="B18" s="5">
        <f t="shared" si="15"/>
        <v>43441</v>
      </c>
      <c r="C18" s="38">
        <f t="shared" si="20"/>
        <v>43441</v>
      </c>
      <c r="D18" s="7">
        <f t="shared" ca="1" si="1"/>
        <v>-303</v>
      </c>
      <c r="E18" s="114" t="s">
        <v>5</v>
      </c>
      <c r="F18" s="55"/>
      <c r="G18" s="56"/>
      <c r="H18" s="56"/>
      <c r="I18" s="200"/>
      <c r="J18" s="56"/>
      <c r="K18" s="201" t="str">
        <f t="shared" si="24"/>
        <v/>
      </c>
      <c r="L18" s="56"/>
      <c r="M18" s="56" t="str">
        <f t="shared" si="21"/>
        <v/>
      </c>
      <c r="N18" s="324"/>
      <c r="O18" s="259">
        <f t="shared" si="3"/>
        <v>18948.827719197008</v>
      </c>
      <c r="P18" s="260">
        <f t="shared" si="17"/>
        <v>587409.48315759108</v>
      </c>
      <c r="Q18" s="169">
        <f t="shared" si="4"/>
        <v>364.9993313191477</v>
      </c>
      <c r="R18" s="169">
        <f t="shared" si="22"/>
        <v>0</v>
      </c>
      <c r="S18" s="368" t="str">
        <f t="shared" si="12"/>
        <v/>
      </c>
      <c r="T18" s="169"/>
      <c r="U18" s="169"/>
      <c r="V18" s="170" t="str">
        <f t="shared" si="18"/>
        <v/>
      </c>
      <c r="W18" s="170" t="str">
        <f t="shared" si="19"/>
        <v/>
      </c>
      <c r="X18" s="259">
        <f t="shared" si="23"/>
        <v>0</v>
      </c>
      <c r="Y18" s="259">
        <f t="shared" si="23"/>
        <v>0</v>
      </c>
      <c r="Z18" s="259">
        <f t="shared" si="23"/>
        <v>0</v>
      </c>
      <c r="AA18" s="348">
        <f t="shared" si="8"/>
        <v>0</v>
      </c>
      <c r="AB18" s="274">
        <f t="shared" si="13"/>
        <v>0</v>
      </c>
      <c r="AC18" s="97"/>
      <c r="AD18" s="97"/>
      <c r="AE18" s="100"/>
      <c r="AF18" s="100"/>
      <c r="AG18" s="100"/>
    </row>
    <row r="19" spans="1:33">
      <c r="A19" s="1"/>
      <c r="B19" s="5">
        <f t="shared" si="15"/>
        <v>43442</v>
      </c>
      <c r="C19" s="38">
        <f t="shared" si="20"/>
        <v>43442</v>
      </c>
      <c r="D19" s="7">
        <f t="shared" ca="1" si="1"/>
        <v>-304</v>
      </c>
      <c r="E19" s="114" t="s">
        <v>6</v>
      </c>
      <c r="F19" s="55"/>
      <c r="G19" s="56"/>
      <c r="H19" s="56"/>
      <c r="I19" s="200"/>
      <c r="J19" s="56"/>
      <c r="K19" s="201" t="str">
        <f t="shared" si="24"/>
        <v/>
      </c>
      <c r="L19" s="56"/>
      <c r="M19" s="56" t="str">
        <f t="shared" si="21"/>
        <v/>
      </c>
      <c r="N19" s="324"/>
      <c r="O19" s="259">
        <f t="shared" si="3"/>
        <v>18948.827719197008</v>
      </c>
      <c r="P19" s="260">
        <f t="shared" si="17"/>
        <v>587409.48315759108</v>
      </c>
      <c r="Q19" s="169">
        <f t="shared" si="4"/>
        <v>364.9993313191477</v>
      </c>
      <c r="R19" s="169">
        <f t="shared" si="22"/>
        <v>0</v>
      </c>
      <c r="S19" s="368" t="str">
        <f t="shared" si="12"/>
        <v/>
      </c>
      <c r="T19" s="169"/>
      <c r="U19" s="169"/>
      <c r="V19" s="170" t="str">
        <f t="shared" si="18"/>
        <v/>
      </c>
      <c r="W19" s="170" t="str">
        <f t="shared" si="19"/>
        <v/>
      </c>
      <c r="X19" s="259">
        <f t="shared" si="23"/>
        <v>0</v>
      </c>
      <c r="Y19" s="259">
        <f t="shared" si="23"/>
        <v>0</v>
      </c>
      <c r="Z19" s="259">
        <f t="shared" si="23"/>
        <v>0</v>
      </c>
      <c r="AA19" s="348">
        <f t="shared" si="8"/>
        <v>0</v>
      </c>
      <c r="AB19" s="274">
        <f t="shared" si="13"/>
        <v>0</v>
      </c>
      <c r="AC19" s="97"/>
      <c r="AD19" s="97"/>
      <c r="AE19" s="100"/>
      <c r="AF19" s="100"/>
      <c r="AG19" s="100"/>
    </row>
    <row r="20" spans="1:33" ht="16" thickBot="1">
      <c r="A20" s="1"/>
      <c r="B20" s="53">
        <f t="shared" si="15"/>
        <v>43443</v>
      </c>
      <c r="C20" s="41">
        <f t="shared" si="20"/>
        <v>43443</v>
      </c>
      <c r="D20" s="54">
        <f t="shared" ca="1" si="1"/>
        <v>-305</v>
      </c>
      <c r="E20" s="117" t="s">
        <v>7</v>
      </c>
      <c r="F20" s="55"/>
      <c r="G20" s="56"/>
      <c r="H20" s="56"/>
      <c r="I20" s="200"/>
      <c r="J20" s="56"/>
      <c r="K20" s="201" t="str">
        <f t="shared" si="24"/>
        <v/>
      </c>
      <c r="L20" s="56"/>
      <c r="M20" s="56" t="str">
        <f t="shared" si="21"/>
        <v/>
      </c>
      <c r="N20" s="329"/>
      <c r="O20" s="259">
        <f t="shared" si="3"/>
        <v>18948.827719197008</v>
      </c>
      <c r="P20" s="260">
        <f t="shared" si="17"/>
        <v>587409.48315759108</v>
      </c>
      <c r="Q20" s="169">
        <f t="shared" si="4"/>
        <v>364.9993313191477</v>
      </c>
      <c r="R20" s="169">
        <f t="shared" si="22"/>
        <v>0</v>
      </c>
      <c r="S20" s="368" t="str">
        <f t="shared" si="12"/>
        <v/>
      </c>
      <c r="T20" s="169"/>
      <c r="U20" s="169"/>
      <c r="V20" s="170" t="str">
        <f t="shared" si="18"/>
        <v/>
      </c>
      <c r="W20" s="170" t="str">
        <f t="shared" si="19"/>
        <v/>
      </c>
      <c r="X20" s="259">
        <f t="shared" si="23"/>
        <v>0</v>
      </c>
      <c r="Y20" s="259">
        <f t="shared" si="23"/>
        <v>0</v>
      </c>
      <c r="Z20" s="259">
        <f t="shared" si="23"/>
        <v>0</v>
      </c>
      <c r="AA20" s="348">
        <f t="shared" si="8"/>
        <v>0</v>
      </c>
      <c r="AB20" s="274">
        <f t="shared" si="13"/>
        <v>0</v>
      </c>
      <c r="AC20" s="97"/>
      <c r="AD20" s="97"/>
      <c r="AE20" s="100"/>
      <c r="AF20" s="100"/>
      <c r="AG20" s="100"/>
    </row>
    <row r="21" spans="1:33" ht="16" thickTop="1">
      <c r="A21" s="29"/>
      <c r="B21" s="16"/>
      <c r="C21" s="42"/>
      <c r="D21" s="60">
        <f ca="1">TODAY()-C21</f>
        <v>43138</v>
      </c>
      <c r="E21" s="113" t="s">
        <v>76</v>
      </c>
      <c r="F21" s="59">
        <f ca="1">G21*0.000568181818</f>
        <v>-1.2427401132386871E-58</v>
      </c>
      <c r="G21" s="19">
        <f ca="1">H21*1.0936113</f>
        <v>-2.1872226000000002E-55</v>
      </c>
      <c r="H21" s="129">
        <f ca="1">IF(TODAY()&gt;=B14,(AA20-AA11)*1000,-2E-55)</f>
        <v>-2E-55</v>
      </c>
      <c r="I21" s="152"/>
      <c r="J21" s="447" t="str">
        <f>IF(R21=0,"",#REF!)</f>
        <v/>
      </c>
      <c r="K21" s="448"/>
      <c r="L21" s="448"/>
      <c r="M21" s="448"/>
      <c r="N21" s="448"/>
      <c r="O21" s="259" t="str">
        <f t="shared" si="3"/>
        <v/>
      </c>
      <c r="P21" s="260"/>
      <c r="Q21" s="169">
        <f t="shared" si="4"/>
        <v>0</v>
      </c>
      <c r="R21" s="350"/>
      <c r="S21" s="368" t="str">
        <f t="shared" si="12"/>
        <v/>
      </c>
      <c r="T21" s="350"/>
      <c r="U21" s="350"/>
      <c r="V21" s="350"/>
      <c r="W21" s="350"/>
      <c r="X21" s="234"/>
      <c r="Y21" s="234"/>
      <c r="Z21" s="234"/>
      <c r="AA21" s="348">
        <f t="shared" si="8"/>
        <v>0</v>
      </c>
      <c r="AB21" s="274">
        <f t="shared" si="13"/>
        <v>0</v>
      </c>
      <c r="AC21" s="97"/>
      <c r="AD21" s="97"/>
      <c r="AE21" s="100"/>
      <c r="AF21" s="100"/>
      <c r="AG21" s="100"/>
    </row>
    <row r="22" spans="1:33" ht="16" thickBot="1">
      <c r="A22" s="28"/>
      <c r="B22" s="17"/>
      <c r="C22" s="39"/>
      <c r="D22" s="61">
        <f ca="1">TODAY()-C22</f>
        <v>43138</v>
      </c>
      <c r="E22" s="116" t="s">
        <v>33</v>
      </c>
      <c r="F22" s="62">
        <f>G22*0.0005681818</f>
        <v>82.419143069007788</v>
      </c>
      <c r="G22" s="63">
        <f>H22*1.0936113</f>
        <v>145057.6964433</v>
      </c>
      <c r="H22" s="131">
        <f>INT(SUM($O14:$O20))</f>
        <v>132641</v>
      </c>
      <c r="I22" s="153"/>
      <c r="J22" s="449"/>
      <c r="K22" s="451"/>
      <c r="L22" s="451"/>
      <c r="M22" s="451"/>
      <c r="N22" s="451"/>
      <c r="O22" s="259" t="str">
        <f t="shared" si="3"/>
        <v/>
      </c>
      <c r="P22" s="260"/>
      <c r="Q22" s="169">
        <f t="shared" si="4"/>
        <v>0</v>
      </c>
      <c r="R22" s="351"/>
      <c r="S22" s="368" t="str">
        <f t="shared" si="12"/>
        <v/>
      </c>
      <c r="T22" s="351"/>
      <c r="U22" s="351"/>
      <c r="V22" s="351"/>
      <c r="W22" s="351"/>
      <c r="X22" s="234"/>
      <c r="Y22" s="234"/>
      <c r="Z22" s="234"/>
      <c r="AA22" s="348">
        <f t="shared" si="8"/>
        <v>0</v>
      </c>
      <c r="AB22" s="274">
        <f t="shared" si="13"/>
        <v>0</v>
      </c>
      <c r="AC22" s="97"/>
      <c r="AD22" s="97"/>
      <c r="AE22" s="100"/>
      <c r="AF22" s="100"/>
      <c r="AG22" s="100"/>
    </row>
    <row r="23" spans="1:33" ht="16" thickTop="1">
      <c r="A23" s="1" t="s">
        <v>10</v>
      </c>
      <c r="B23" s="57">
        <f t="shared" ref="B23:B29" si="25">IF(B$2&gt;C23,0,C23)</f>
        <v>43444</v>
      </c>
      <c r="C23" s="40">
        <f>C20+1</f>
        <v>43444</v>
      </c>
      <c r="D23" s="22">
        <f t="shared" ca="1" si="1"/>
        <v>-306</v>
      </c>
      <c r="E23" s="118" t="s">
        <v>1</v>
      </c>
      <c r="F23" s="55"/>
      <c r="G23" s="56"/>
      <c r="H23" s="56"/>
      <c r="I23" s="200"/>
      <c r="J23" s="128"/>
      <c r="K23" s="201" t="str">
        <f t="shared" ref="K23" si="26">IF(R23=0,"",IF(L23="","",J23))</f>
        <v/>
      </c>
      <c r="L23" s="128"/>
      <c r="M23" s="56" t="str">
        <f>IF(R23=0,"",IF(J23="","",L23))</f>
        <v/>
      </c>
      <c r="N23" s="330"/>
      <c r="O23" s="259">
        <f t="shared" si="3"/>
        <v>18948.827719197008</v>
      </c>
      <c r="P23" s="260">
        <f t="shared" ref="P23:P29" si="27">H$56</f>
        <v>587409.48315759108</v>
      </c>
      <c r="Q23" s="169">
        <f t="shared" si="4"/>
        <v>364.9993313191477</v>
      </c>
      <c r="R23" s="169">
        <f>IF(R$2=3,H23+G23/1.0936133+F23/0.0006213712,IF(R$2=2,H23*1.0936133+G23+F23/0.0005681818,IF(R$2=1,H23*0.0005681818*1.0936133+G23*0.0005681818+F23,"")))</f>
        <v>0</v>
      </c>
      <c r="S23" s="368" t="str">
        <f t="shared" si="12"/>
        <v/>
      </c>
      <c r="T23" s="169"/>
      <c r="U23" s="169"/>
      <c r="V23" s="170" t="str">
        <f t="shared" ref="V23:V29" si="28">IF(L23="","",IF(R23=0,"",IF(B23=0,"",IF($R$2=3,R23/L23*60/1000,IF($R$2=2,R23/L23*60/1760,IF($R$2=1,R23/L23*60,""))))))</f>
        <v/>
      </c>
      <c r="W23" s="170" t="str">
        <f t="shared" ref="W23:W29" si="29">IF(R23=0,"",IF(L23="","",V23*L23))</f>
        <v/>
      </c>
      <c r="X23" s="259">
        <f>F23+X20</f>
        <v>0</v>
      </c>
      <c r="Y23" s="259">
        <f>G23+Y20</f>
        <v>0</v>
      </c>
      <c r="Z23" s="259">
        <f>H23+Z20</f>
        <v>0</v>
      </c>
      <c r="AA23" s="348">
        <f t="shared" si="8"/>
        <v>0</v>
      </c>
      <c r="AB23" s="274">
        <f t="shared" si="13"/>
        <v>0</v>
      </c>
      <c r="AC23" s="97"/>
      <c r="AD23" s="97"/>
      <c r="AE23" s="100"/>
      <c r="AF23" s="100"/>
      <c r="AG23" s="100"/>
    </row>
    <row r="24" spans="1:33">
      <c r="A24" s="1"/>
      <c r="B24" s="5">
        <f t="shared" si="25"/>
        <v>43445</v>
      </c>
      <c r="C24" s="38">
        <f t="shared" ref="C24:C29" si="30">C23+1</f>
        <v>43445</v>
      </c>
      <c r="D24" s="7">
        <f t="shared" ca="1" si="1"/>
        <v>-307</v>
      </c>
      <c r="E24" s="114" t="s">
        <v>2</v>
      </c>
      <c r="F24" s="55"/>
      <c r="G24" s="56"/>
      <c r="H24" s="56"/>
      <c r="I24" s="200"/>
      <c r="J24" s="56"/>
      <c r="K24" s="201" t="str">
        <f>IF(R24=0,"",IF(L24="","",J24))</f>
        <v/>
      </c>
      <c r="L24" s="56"/>
      <c r="M24" s="56" t="str">
        <f t="shared" ref="M24:M29" si="31">IF(R24=0,"",IF(J24="","",L24))</f>
        <v/>
      </c>
      <c r="N24" s="324"/>
      <c r="O24" s="259">
        <f t="shared" si="3"/>
        <v>18948.827719197008</v>
      </c>
      <c r="P24" s="260">
        <f t="shared" si="27"/>
        <v>587409.48315759108</v>
      </c>
      <c r="Q24" s="169">
        <f t="shared" si="4"/>
        <v>364.9993313191477</v>
      </c>
      <c r="R24" s="169">
        <f t="shared" ref="R24:R29" si="32">IF(R$2=3,H24+G24/1.0936133+F24/0.0006213712,IF(R$2=2,H24*1.0936133+G24+F24/0.0005681818,IF(R$2=1,H24*0.0005681818*1.0936133+G24*0.0005681818+F24,"")))</f>
        <v>0</v>
      </c>
      <c r="S24" s="368" t="str">
        <f t="shared" si="12"/>
        <v/>
      </c>
      <c r="T24" s="169"/>
      <c r="U24" s="169"/>
      <c r="V24" s="170" t="str">
        <f t="shared" si="28"/>
        <v/>
      </c>
      <c r="W24" s="170" t="str">
        <f t="shared" si="29"/>
        <v/>
      </c>
      <c r="X24" s="259">
        <f t="shared" ref="X24:Z29" si="33">F24+X23</f>
        <v>0</v>
      </c>
      <c r="Y24" s="259">
        <f t="shared" si="33"/>
        <v>0</v>
      </c>
      <c r="Z24" s="259">
        <f t="shared" si="33"/>
        <v>0</v>
      </c>
      <c r="AA24" s="348">
        <f t="shared" si="8"/>
        <v>0</v>
      </c>
      <c r="AB24" s="274">
        <f t="shared" si="13"/>
        <v>0</v>
      </c>
      <c r="AC24" s="97"/>
      <c r="AD24" s="97"/>
      <c r="AE24" s="100"/>
      <c r="AF24" s="100"/>
      <c r="AG24" s="100"/>
    </row>
    <row r="25" spans="1:33">
      <c r="A25" s="1"/>
      <c r="B25" s="5">
        <f t="shared" si="25"/>
        <v>43446</v>
      </c>
      <c r="C25" s="38">
        <f t="shared" si="30"/>
        <v>43446</v>
      </c>
      <c r="D25" s="7">
        <f t="shared" ca="1" si="1"/>
        <v>-308</v>
      </c>
      <c r="E25" s="114" t="s">
        <v>3</v>
      </c>
      <c r="F25" s="55"/>
      <c r="G25" s="56"/>
      <c r="H25" s="56"/>
      <c r="I25" s="200"/>
      <c r="J25" s="56"/>
      <c r="K25" s="201" t="str">
        <f t="shared" ref="K25:K29" si="34">IF(R25=0,"",IF(L25="","",J25))</f>
        <v/>
      </c>
      <c r="L25" s="56"/>
      <c r="M25" s="56" t="str">
        <f t="shared" si="31"/>
        <v/>
      </c>
      <c r="N25" s="324"/>
      <c r="O25" s="259">
        <f t="shared" si="3"/>
        <v>18948.827719197008</v>
      </c>
      <c r="P25" s="260">
        <f t="shared" si="27"/>
        <v>587409.48315759108</v>
      </c>
      <c r="Q25" s="169">
        <f t="shared" si="4"/>
        <v>364.9993313191477</v>
      </c>
      <c r="R25" s="169">
        <f t="shared" si="32"/>
        <v>0</v>
      </c>
      <c r="S25" s="368" t="str">
        <f t="shared" si="12"/>
        <v/>
      </c>
      <c r="T25" s="169"/>
      <c r="U25" s="169"/>
      <c r="V25" s="170" t="str">
        <f t="shared" si="28"/>
        <v/>
      </c>
      <c r="W25" s="170" t="str">
        <f t="shared" si="29"/>
        <v/>
      </c>
      <c r="X25" s="259">
        <f t="shared" si="33"/>
        <v>0</v>
      </c>
      <c r="Y25" s="259">
        <f t="shared" si="33"/>
        <v>0</v>
      </c>
      <c r="Z25" s="259">
        <f t="shared" si="33"/>
        <v>0</v>
      </c>
      <c r="AA25" s="348">
        <f t="shared" si="8"/>
        <v>0</v>
      </c>
      <c r="AB25" s="274">
        <f t="shared" si="13"/>
        <v>0</v>
      </c>
      <c r="AC25" s="97"/>
      <c r="AD25" s="97"/>
      <c r="AE25" s="100"/>
      <c r="AF25" s="100"/>
      <c r="AG25" s="100"/>
    </row>
    <row r="26" spans="1:33">
      <c r="A26" s="1"/>
      <c r="B26" s="5">
        <f t="shared" si="25"/>
        <v>43447</v>
      </c>
      <c r="C26" s="38">
        <f t="shared" si="30"/>
        <v>43447</v>
      </c>
      <c r="D26" s="7">
        <f t="shared" ca="1" si="1"/>
        <v>-309</v>
      </c>
      <c r="E26" s="114" t="s">
        <v>4</v>
      </c>
      <c r="F26" s="55"/>
      <c r="G26" s="56"/>
      <c r="H26" s="56"/>
      <c r="I26" s="200"/>
      <c r="J26" s="56"/>
      <c r="K26" s="201" t="str">
        <f t="shared" si="34"/>
        <v/>
      </c>
      <c r="L26" s="56"/>
      <c r="M26" s="56" t="str">
        <f t="shared" si="31"/>
        <v/>
      </c>
      <c r="N26" s="324"/>
      <c r="O26" s="259">
        <f t="shared" si="3"/>
        <v>18948.827719197008</v>
      </c>
      <c r="P26" s="260">
        <f t="shared" si="27"/>
        <v>587409.48315759108</v>
      </c>
      <c r="Q26" s="169">
        <f t="shared" si="4"/>
        <v>364.9993313191477</v>
      </c>
      <c r="R26" s="169">
        <f t="shared" si="32"/>
        <v>0</v>
      </c>
      <c r="S26" s="368" t="str">
        <f t="shared" si="12"/>
        <v/>
      </c>
      <c r="T26" s="169"/>
      <c r="U26" s="169"/>
      <c r="V26" s="170" t="str">
        <f t="shared" si="28"/>
        <v/>
      </c>
      <c r="W26" s="170" t="str">
        <f t="shared" si="29"/>
        <v/>
      </c>
      <c r="X26" s="259">
        <f t="shared" si="33"/>
        <v>0</v>
      </c>
      <c r="Y26" s="259">
        <f t="shared" si="33"/>
        <v>0</v>
      </c>
      <c r="Z26" s="259">
        <f t="shared" si="33"/>
        <v>0</v>
      </c>
      <c r="AA26" s="348">
        <f t="shared" si="8"/>
        <v>0</v>
      </c>
      <c r="AB26" s="274">
        <f t="shared" si="13"/>
        <v>0</v>
      </c>
      <c r="AC26" s="97"/>
      <c r="AD26" s="97"/>
      <c r="AE26" s="100"/>
      <c r="AF26" s="100"/>
      <c r="AG26" s="100"/>
    </row>
    <row r="27" spans="1:33">
      <c r="A27" s="1"/>
      <c r="B27" s="5">
        <f t="shared" si="25"/>
        <v>43448</v>
      </c>
      <c r="C27" s="38">
        <f t="shared" si="30"/>
        <v>43448</v>
      </c>
      <c r="D27" s="7">
        <f t="shared" ca="1" si="1"/>
        <v>-310</v>
      </c>
      <c r="E27" s="114" t="s">
        <v>5</v>
      </c>
      <c r="F27" s="55"/>
      <c r="G27" s="56"/>
      <c r="H27" s="56"/>
      <c r="I27" s="200"/>
      <c r="J27" s="56"/>
      <c r="K27" s="201" t="str">
        <f t="shared" si="34"/>
        <v/>
      </c>
      <c r="L27" s="56"/>
      <c r="M27" s="56" t="str">
        <f t="shared" si="31"/>
        <v/>
      </c>
      <c r="N27" s="324"/>
      <c r="O27" s="259">
        <f t="shared" si="3"/>
        <v>18948.827719197008</v>
      </c>
      <c r="P27" s="260">
        <f t="shared" si="27"/>
        <v>587409.48315759108</v>
      </c>
      <c r="Q27" s="169">
        <f t="shared" si="4"/>
        <v>364.9993313191477</v>
      </c>
      <c r="R27" s="169">
        <f t="shared" si="32"/>
        <v>0</v>
      </c>
      <c r="S27" s="368" t="str">
        <f t="shared" si="12"/>
        <v/>
      </c>
      <c r="T27" s="169"/>
      <c r="U27" s="169"/>
      <c r="V27" s="170" t="str">
        <f t="shared" si="28"/>
        <v/>
      </c>
      <c r="W27" s="170" t="str">
        <f t="shared" si="29"/>
        <v/>
      </c>
      <c r="X27" s="259">
        <f t="shared" si="33"/>
        <v>0</v>
      </c>
      <c r="Y27" s="259">
        <f t="shared" si="33"/>
        <v>0</v>
      </c>
      <c r="Z27" s="259">
        <f t="shared" si="33"/>
        <v>0</v>
      </c>
      <c r="AA27" s="348">
        <f t="shared" si="8"/>
        <v>0</v>
      </c>
      <c r="AB27" s="274">
        <f t="shared" si="13"/>
        <v>0</v>
      </c>
      <c r="AC27" s="97"/>
      <c r="AD27" s="97"/>
      <c r="AE27" s="100"/>
      <c r="AF27" s="100"/>
      <c r="AG27" s="100"/>
    </row>
    <row r="28" spans="1:33">
      <c r="A28" s="1"/>
      <c r="B28" s="5">
        <f t="shared" si="25"/>
        <v>43449</v>
      </c>
      <c r="C28" s="38">
        <f t="shared" si="30"/>
        <v>43449</v>
      </c>
      <c r="D28" s="7">
        <f t="shared" ca="1" si="1"/>
        <v>-311</v>
      </c>
      <c r="E28" s="114" t="s">
        <v>6</v>
      </c>
      <c r="F28" s="55"/>
      <c r="G28" s="56"/>
      <c r="H28" s="56"/>
      <c r="I28" s="200"/>
      <c r="J28" s="56"/>
      <c r="K28" s="201" t="str">
        <f t="shared" si="34"/>
        <v/>
      </c>
      <c r="L28" s="56"/>
      <c r="M28" s="56" t="str">
        <f t="shared" si="31"/>
        <v/>
      </c>
      <c r="N28" s="324"/>
      <c r="O28" s="259">
        <f t="shared" si="3"/>
        <v>18948.827719197008</v>
      </c>
      <c r="P28" s="260">
        <f t="shared" si="27"/>
        <v>587409.48315759108</v>
      </c>
      <c r="Q28" s="169">
        <f t="shared" si="4"/>
        <v>364.9993313191477</v>
      </c>
      <c r="R28" s="169">
        <f t="shared" si="32"/>
        <v>0</v>
      </c>
      <c r="S28" s="368" t="str">
        <f t="shared" si="12"/>
        <v/>
      </c>
      <c r="T28" s="169"/>
      <c r="U28" s="169"/>
      <c r="V28" s="170" t="str">
        <f t="shared" si="28"/>
        <v/>
      </c>
      <c r="W28" s="170" t="str">
        <f t="shared" si="29"/>
        <v/>
      </c>
      <c r="X28" s="259">
        <f t="shared" si="33"/>
        <v>0</v>
      </c>
      <c r="Y28" s="259">
        <f t="shared" si="33"/>
        <v>0</v>
      </c>
      <c r="Z28" s="259">
        <f t="shared" si="33"/>
        <v>0</v>
      </c>
      <c r="AA28" s="348">
        <f t="shared" si="8"/>
        <v>0</v>
      </c>
      <c r="AB28" s="274">
        <f t="shared" si="13"/>
        <v>0</v>
      </c>
      <c r="AC28" s="97"/>
      <c r="AD28" s="97"/>
      <c r="AE28" s="100"/>
      <c r="AF28" s="100"/>
      <c r="AG28" s="100"/>
    </row>
    <row r="29" spans="1:33" ht="16" thickBot="1">
      <c r="A29" s="1"/>
      <c r="B29" s="53">
        <f t="shared" si="25"/>
        <v>43450</v>
      </c>
      <c r="C29" s="41">
        <f t="shared" si="30"/>
        <v>43450</v>
      </c>
      <c r="D29" s="54">
        <f t="shared" ca="1" si="1"/>
        <v>-312</v>
      </c>
      <c r="E29" s="117" t="s">
        <v>7</v>
      </c>
      <c r="F29" s="55"/>
      <c r="G29" s="56"/>
      <c r="H29" s="56"/>
      <c r="I29" s="200"/>
      <c r="J29" s="56"/>
      <c r="K29" s="201" t="str">
        <f t="shared" si="34"/>
        <v/>
      </c>
      <c r="L29" s="56"/>
      <c r="M29" s="56" t="str">
        <f t="shared" si="31"/>
        <v/>
      </c>
      <c r="N29" s="329"/>
      <c r="O29" s="259">
        <f t="shared" si="3"/>
        <v>18948.827719197008</v>
      </c>
      <c r="P29" s="260">
        <f t="shared" si="27"/>
        <v>587409.48315759108</v>
      </c>
      <c r="Q29" s="169">
        <f t="shared" si="4"/>
        <v>364.9993313191477</v>
      </c>
      <c r="R29" s="169">
        <f t="shared" si="32"/>
        <v>0</v>
      </c>
      <c r="S29" s="368" t="str">
        <f t="shared" si="12"/>
        <v/>
      </c>
      <c r="T29" s="169"/>
      <c r="U29" s="169"/>
      <c r="V29" s="170" t="str">
        <f t="shared" si="28"/>
        <v/>
      </c>
      <c r="W29" s="170" t="str">
        <f t="shared" si="29"/>
        <v/>
      </c>
      <c r="X29" s="259">
        <f t="shared" si="33"/>
        <v>0</v>
      </c>
      <c r="Y29" s="259">
        <f t="shared" si="33"/>
        <v>0</v>
      </c>
      <c r="Z29" s="259">
        <f t="shared" si="33"/>
        <v>0</v>
      </c>
      <c r="AA29" s="348">
        <f t="shared" si="8"/>
        <v>0</v>
      </c>
      <c r="AB29" s="274">
        <f t="shared" si="13"/>
        <v>0</v>
      </c>
      <c r="AC29" s="97"/>
      <c r="AD29" s="97"/>
      <c r="AE29" s="100"/>
      <c r="AF29" s="100"/>
      <c r="AG29" s="100"/>
    </row>
    <row r="30" spans="1:33" ht="16" thickTop="1">
      <c r="A30" s="29"/>
      <c r="B30" s="16"/>
      <c r="C30" s="42"/>
      <c r="D30" s="60">
        <f ca="1">TODAY()-C30</f>
        <v>43138</v>
      </c>
      <c r="E30" s="113" t="s">
        <v>76</v>
      </c>
      <c r="F30" s="59">
        <f ca="1">G30*0.000568181818</f>
        <v>-1.2427401132386871E-58</v>
      </c>
      <c r="G30" s="19">
        <f ca="1">H30*1.0936113</f>
        <v>-2.1872226000000002E-55</v>
      </c>
      <c r="H30" s="129">
        <f ca="1">IF(TODAY()&gt;=B23,(AA29-AA20)*1000,-2E-55)</f>
        <v>-2E-55</v>
      </c>
      <c r="I30" s="152"/>
      <c r="J30" s="424" t="s">
        <v>121</v>
      </c>
      <c r="K30" s="452"/>
      <c r="L30" s="452"/>
      <c r="M30" s="453"/>
      <c r="N30" s="453"/>
      <c r="O30" s="259" t="str">
        <f t="shared" si="3"/>
        <v/>
      </c>
      <c r="P30" s="260"/>
      <c r="Q30" s="169">
        <f t="shared" si="4"/>
        <v>0</v>
      </c>
      <c r="R30" s="350"/>
      <c r="S30" s="368" t="str">
        <f t="shared" si="12"/>
        <v/>
      </c>
      <c r="T30" s="350"/>
      <c r="U30" s="350"/>
      <c r="V30" s="350"/>
      <c r="W30" s="350"/>
      <c r="X30" s="234"/>
      <c r="Y30" s="234"/>
      <c r="Z30" s="234"/>
      <c r="AA30" s="348">
        <f t="shared" si="8"/>
        <v>0</v>
      </c>
      <c r="AB30" s="274">
        <f t="shared" si="13"/>
        <v>0</v>
      </c>
      <c r="AC30" s="97"/>
      <c r="AD30" s="97"/>
      <c r="AE30" s="100"/>
      <c r="AF30" s="100"/>
      <c r="AG30" s="100"/>
    </row>
    <row r="31" spans="1:33" ht="19" thickBot="1">
      <c r="A31" s="28"/>
      <c r="B31" s="17"/>
      <c r="C31" s="39"/>
      <c r="D31" s="61">
        <f ca="1">TODAY()-C31</f>
        <v>43138</v>
      </c>
      <c r="E31" s="116" t="s">
        <v>33</v>
      </c>
      <c r="F31" s="62">
        <f>G31*0.0005681818</f>
        <v>82.419143069007788</v>
      </c>
      <c r="G31" s="63">
        <f>H31*1.0936113</f>
        <v>145057.6964433</v>
      </c>
      <c r="H31" s="131">
        <f>INT(SUM($O23:$O29))</f>
        <v>132641</v>
      </c>
      <c r="I31" s="153"/>
      <c r="J31" s="426" t="str">
        <f>IF(R$2=1,"mph",IF(R$2=2,"mph",IF(R$2=3," km/h","????")))</f>
        <v>mph</v>
      </c>
      <c r="K31" s="454"/>
      <c r="L31" s="454"/>
      <c r="M31" s="455"/>
      <c r="N31" s="455"/>
      <c r="O31" s="259" t="str">
        <f t="shared" si="3"/>
        <v/>
      </c>
      <c r="P31" s="260"/>
      <c r="Q31" s="169">
        <f t="shared" si="4"/>
        <v>0</v>
      </c>
      <c r="R31" s="351"/>
      <c r="S31" s="368" t="str">
        <f t="shared" si="12"/>
        <v/>
      </c>
      <c r="T31" s="351"/>
      <c r="U31" s="351"/>
      <c r="V31" s="351"/>
      <c r="W31" s="351"/>
      <c r="X31" s="234"/>
      <c r="Y31" s="234"/>
      <c r="Z31" s="234"/>
      <c r="AA31" s="348">
        <f t="shared" si="8"/>
        <v>0</v>
      </c>
      <c r="AB31" s="274">
        <f t="shared" si="13"/>
        <v>0</v>
      </c>
      <c r="AC31" s="97"/>
      <c r="AD31" s="97"/>
      <c r="AE31" s="100"/>
      <c r="AF31" s="100"/>
      <c r="AG31" s="100"/>
    </row>
    <row r="32" spans="1:33" ht="16" thickTop="1">
      <c r="A32" s="1" t="s">
        <v>11</v>
      </c>
      <c r="B32" s="57">
        <f t="shared" ref="B32:B38" si="35">IF(B$2&gt;C32,0,C32)</f>
        <v>43451</v>
      </c>
      <c r="C32" s="40">
        <f>C29+1</f>
        <v>43451</v>
      </c>
      <c r="D32" s="22">
        <f t="shared" ca="1" si="1"/>
        <v>-313</v>
      </c>
      <c r="E32" s="118" t="s">
        <v>1</v>
      </c>
      <c r="F32" s="55"/>
      <c r="G32" s="56"/>
      <c r="H32" s="56"/>
      <c r="I32" s="200"/>
      <c r="J32" s="128"/>
      <c r="K32" s="201" t="str">
        <f t="shared" ref="K32" si="36">IF(R32=0,"",IF(L32="","",J32))</f>
        <v/>
      </c>
      <c r="L32" s="154"/>
      <c r="M32" s="56" t="str">
        <f>IF(R32=0,"",IF(J32="","",L32))</f>
        <v/>
      </c>
      <c r="N32" s="330"/>
      <c r="O32" s="259">
        <f t="shared" si="3"/>
        <v>18948.827719197008</v>
      </c>
      <c r="P32" s="260">
        <f t="shared" ref="P32:P38" si="37">H$56</f>
        <v>587409.48315759108</v>
      </c>
      <c r="Q32" s="169">
        <f t="shared" si="4"/>
        <v>364.9993313191477</v>
      </c>
      <c r="R32" s="169">
        <f>IF(R$2=3,H32+G32/1.0936133+F32/0.0006213712,IF(R$2=2,H32*1.0936133+G32+F32/0.0005681818,IF(R$2=1,H32*0.0005681818*1.0936133+G32*0.0005681818+F32,"")))</f>
        <v>0</v>
      </c>
      <c r="S32" s="368" t="str">
        <f t="shared" si="12"/>
        <v/>
      </c>
      <c r="T32" s="169"/>
      <c r="U32" s="169"/>
      <c r="V32" s="170" t="str">
        <f t="shared" ref="V32:V38" si="38">IF(L32="","",IF(R32=0,"",IF(B32=0,"",IF($R$2=3,R32/L32*60/1000,IF($R$2=2,R32/L32*60/1760,IF($R$2=1,R32/L32*60,""))))))</f>
        <v/>
      </c>
      <c r="W32" s="170" t="str">
        <f t="shared" ref="W32:W38" si="39">IF(R32=0,"",IF(L32="","",V32*L32))</f>
        <v/>
      </c>
      <c r="X32" s="259">
        <f>F32+X29</f>
        <v>0</v>
      </c>
      <c r="Y32" s="259">
        <f>G32+Y29</f>
        <v>0</v>
      </c>
      <c r="Z32" s="259">
        <f>H32+Z29</f>
        <v>0</v>
      </c>
      <c r="AA32" s="348">
        <f t="shared" si="8"/>
        <v>0</v>
      </c>
      <c r="AB32" s="274">
        <f t="shared" si="13"/>
        <v>0</v>
      </c>
      <c r="AC32" s="97"/>
      <c r="AD32" s="97"/>
      <c r="AE32" s="100"/>
      <c r="AF32" s="100"/>
      <c r="AG32" s="100"/>
    </row>
    <row r="33" spans="1:33">
      <c r="A33" s="1"/>
      <c r="B33" s="5">
        <f t="shared" si="35"/>
        <v>43452</v>
      </c>
      <c r="C33" s="38">
        <f t="shared" ref="C33:C38" si="40">C32+1</f>
        <v>43452</v>
      </c>
      <c r="D33" s="7">
        <f t="shared" ca="1" si="1"/>
        <v>-314</v>
      </c>
      <c r="E33" s="114" t="s">
        <v>2</v>
      </c>
      <c r="F33" s="55"/>
      <c r="G33" s="56"/>
      <c r="H33" s="56"/>
      <c r="I33" s="200"/>
      <c r="J33" s="56"/>
      <c r="K33" s="201" t="str">
        <f>IF(R33=0,"",IF(L33="","",J33))</f>
        <v/>
      </c>
      <c r="L33" s="56"/>
      <c r="M33" s="56" t="str">
        <f t="shared" ref="M33:M38" si="41">IF(R33=0,"",IF(J33="","",L33))</f>
        <v/>
      </c>
      <c r="N33" s="324"/>
      <c r="O33" s="259">
        <f t="shared" si="3"/>
        <v>18948.827719197008</v>
      </c>
      <c r="P33" s="260">
        <f t="shared" si="37"/>
        <v>587409.48315759108</v>
      </c>
      <c r="Q33" s="169">
        <f t="shared" si="4"/>
        <v>364.9993313191477</v>
      </c>
      <c r="R33" s="169">
        <f t="shared" ref="R33:R38" si="42">IF(R$2=3,H33+G33/1.0936133+F33/0.0006213712,IF(R$2=2,H33*1.0936133+G33+F33/0.0005681818,IF(R$2=1,H33*0.0005681818*1.0936133+G33*0.0005681818+F33,"")))</f>
        <v>0</v>
      </c>
      <c r="S33" s="368" t="str">
        <f t="shared" si="12"/>
        <v/>
      </c>
      <c r="T33" s="169"/>
      <c r="U33" s="169"/>
      <c r="V33" s="170" t="str">
        <f t="shared" si="38"/>
        <v/>
      </c>
      <c r="W33" s="170" t="str">
        <f t="shared" si="39"/>
        <v/>
      </c>
      <c r="X33" s="259">
        <f t="shared" ref="X33:Z38" si="43">F33+X32</f>
        <v>0</v>
      </c>
      <c r="Y33" s="259">
        <f t="shared" si="43"/>
        <v>0</v>
      </c>
      <c r="Z33" s="259">
        <f t="shared" si="43"/>
        <v>0</v>
      </c>
      <c r="AA33" s="348">
        <f t="shared" si="8"/>
        <v>0</v>
      </c>
      <c r="AB33" s="274">
        <f t="shared" si="13"/>
        <v>0</v>
      </c>
      <c r="AC33" s="97"/>
      <c r="AD33" s="97"/>
      <c r="AE33" s="100"/>
      <c r="AF33" s="100"/>
      <c r="AG33" s="100"/>
    </row>
    <row r="34" spans="1:33">
      <c r="A34" s="1"/>
      <c r="B34" s="5">
        <f t="shared" si="35"/>
        <v>43453</v>
      </c>
      <c r="C34" s="38">
        <f t="shared" si="40"/>
        <v>43453</v>
      </c>
      <c r="D34" s="7">
        <f t="shared" ca="1" si="1"/>
        <v>-315</v>
      </c>
      <c r="E34" s="114" t="s">
        <v>3</v>
      </c>
      <c r="F34" s="55"/>
      <c r="G34" s="56"/>
      <c r="H34" s="56"/>
      <c r="I34" s="200"/>
      <c r="J34" s="56"/>
      <c r="K34" s="201" t="str">
        <f t="shared" ref="K34:K38" si="44">IF(R34=0,"",IF(L34="","",J34))</f>
        <v/>
      </c>
      <c r="L34" s="56"/>
      <c r="M34" s="56" t="str">
        <f t="shared" si="41"/>
        <v/>
      </c>
      <c r="N34" s="324"/>
      <c r="O34" s="259">
        <f t="shared" si="3"/>
        <v>18948.827719197008</v>
      </c>
      <c r="P34" s="260">
        <f t="shared" si="37"/>
        <v>587409.48315759108</v>
      </c>
      <c r="Q34" s="169">
        <f t="shared" si="4"/>
        <v>364.9993313191477</v>
      </c>
      <c r="R34" s="169">
        <f t="shared" si="42"/>
        <v>0</v>
      </c>
      <c r="S34" s="368" t="str">
        <f t="shared" si="12"/>
        <v/>
      </c>
      <c r="T34" s="169"/>
      <c r="U34" s="169"/>
      <c r="V34" s="170" t="str">
        <f t="shared" si="38"/>
        <v/>
      </c>
      <c r="W34" s="170" t="str">
        <f t="shared" si="39"/>
        <v/>
      </c>
      <c r="X34" s="259">
        <f t="shared" si="43"/>
        <v>0</v>
      </c>
      <c r="Y34" s="259">
        <f t="shared" si="43"/>
        <v>0</v>
      </c>
      <c r="Z34" s="259">
        <f t="shared" si="43"/>
        <v>0</v>
      </c>
      <c r="AA34" s="348">
        <f t="shared" si="8"/>
        <v>0</v>
      </c>
      <c r="AB34" s="274">
        <f t="shared" si="13"/>
        <v>0</v>
      </c>
      <c r="AC34" s="97"/>
      <c r="AD34" s="97"/>
      <c r="AE34" s="100"/>
      <c r="AF34" s="100"/>
      <c r="AG34" s="100"/>
    </row>
    <row r="35" spans="1:33">
      <c r="A35" s="1"/>
      <c r="B35" s="5">
        <f t="shared" si="35"/>
        <v>43454</v>
      </c>
      <c r="C35" s="38">
        <f t="shared" si="40"/>
        <v>43454</v>
      </c>
      <c r="D35" s="7">
        <f t="shared" ca="1" si="1"/>
        <v>-316</v>
      </c>
      <c r="E35" s="114" t="s">
        <v>4</v>
      </c>
      <c r="F35" s="55"/>
      <c r="G35" s="56"/>
      <c r="H35" s="56"/>
      <c r="I35" s="200"/>
      <c r="J35" s="56"/>
      <c r="K35" s="201" t="str">
        <f t="shared" si="44"/>
        <v/>
      </c>
      <c r="L35" s="56"/>
      <c r="M35" s="56" t="str">
        <f t="shared" si="41"/>
        <v/>
      </c>
      <c r="N35" s="324"/>
      <c r="O35" s="259">
        <f t="shared" si="3"/>
        <v>18948.827719197008</v>
      </c>
      <c r="P35" s="260">
        <f t="shared" si="37"/>
        <v>587409.48315759108</v>
      </c>
      <c r="Q35" s="169">
        <f t="shared" si="4"/>
        <v>364.9993313191477</v>
      </c>
      <c r="R35" s="169">
        <f t="shared" si="42"/>
        <v>0</v>
      </c>
      <c r="S35" s="368" t="str">
        <f t="shared" si="12"/>
        <v/>
      </c>
      <c r="T35" s="169"/>
      <c r="U35" s="169"/>
      <c r="V35" s="170" t="str">
        <f t="shared" si="38"/>
        <v/>
      </c>
      <c r="W35" s="170" t="str">
        <f t="shared" si="39"/>
        <v/>
      </c>
      <c r="X35" s="259">
        <f t="shared" si="43"/>
        <v>0</v>
      </c>
      <c r="Y35" s="259">
        <f t="shared" si="43"/>
        <v>0</v>
      </c>
      <c r="Z35" s="259">
        <f t="shared" si="43"/>
        <v>0</v>
      </c>
      <c r="AA35" s="348">
        <f t="shared" si="8"/>
        <v>0</v>
      </c>
      <c r="AB35" s="274">
        <f t="shared" si="13"/>
        <v>0</v>
      </c>
      <c r="AC35" s="97"/>
      <c r="AD35" s="97"/>
      <c r="AE35" s="100"/>
      <c r="AF35" s="100"/>
      <c r="AG35" s="100"/>
    </row>
    <row r="36" spans="1:33">
      <c r="A36" s="1"/>
      <c r="B36" s="5">
        <f t="shared" si="35"/>
        <v>43455</v>
      </c>
      <c r="C36" s="38">
        <f t="shared" si="40"/>
        <v>43455</v>
      </c>
      <c r="D36" s="7">
        <f t="shared" ca="1" si="1"/>
        <v>-317</v>
      </c>
      <c r="E36" s="114" t="s">
        <v>5</v>
      </c>
      <c r="F36" s="55"/>
      <c r="G36" s="56"/>
      <c r="H36" s="56"/>
      <c r="I36" s="200"/>
      <c r="J36" s="56"/>
      <c r="K36" s="201" t="str">
        <f t="shared" si="44"/>
        <v/>
      </c>
      <c r="L36" s="56"/>
      <c r="M36" s="56" t="str">
        <f t="shared" si="41"/>
        <v/>
      </c>
      <c r="N36" s="324"/>
      <c r="O36" s="259">
        <f t="shared" si="3"/>
        <v>18948.827719197008</v>
      </c>
      <c r="P36" s="260">
        <f t="shared" si="37"/>
        <v>587409.48315759108</v>
      </c>
      <c r="Q36" s="169">
        <f t="shared" si="4"/>
        <v>364.9993313191477</v>
      </c>
      <c r="R36" s="169">
        <f t="shared" si="42"/>
        <v>0</v>
      </c>
      <c r="S36" s="368" t="str">
        <f t="shared" si="12"/>
        <v/>
      </c>
      <c r="T36" s="169"/>
      <c r="U36" s="169"/>
      <c r="V36" s="170" t="str">
        <f t="shared" si="38"/>
        <v/>
      </c>
      <c r="W36" s="170" t="str">
        <f t="shared" si="39"/>
        <v/>
      </c>
      <c r="X36" s="259">
        <f t="shared" si="43"/>
        <v>0</v>
      </c>
      <c r="Y36" s="259">
        <f t="shared" si="43"/>
        <v>0</v>
      </c>
      <c r="Z36" s="259">
        <f t="shared" si="43"/>
        <v>0</v>
      </c>
      <c r="AA36" s="348">
        <f t="shared" si="8"/>
        <v>0</v>
      </c>
      <c r="AB36" s="274">
        <f t="shared" si="13"/>
        <v>0</v>
      </c>
      <c r="AC36" s="97"/>
      <c r="AD36" s="97"/>
      <c r="AE36" s="100"/>
      <c r="AF36" s="100"/>
      <c r="AG36" s="100"/>
    </row>
    <row r="37" spans="1:33">
      <c r="A37" s="1"/>
      <c r="B37" s="5">
        <f t="shared" si="35"/>
        <v>43456</v>
      </c>
      <c r="C37" s="38">
        <f t="shared" si="40"/>
        <v>43456</v>
      </c>
      <c r="D37" s="7">
        <f t="shared" ca="1" si="1"/>
        <v>-318</v>
      </c>
      <c r="E37" s="114" t="s">
        <v>6</v>
      </c>
      <c r="F37" s="55"/>
      <c r="G37" s="56"/>
      <c r="H37" s="56"/>
      <c r="I37" s="200"/>
      <c r="J37" s="56"/>
      <c r="K37" s="201" t="str">
        <f t="shared" si="44"/>
        <v/>
      </c>
      <c r="L37" s="56"/>
      <c r="M37" s="56" t="str">
        <f t="shared" si="41"/>
        <v/>
      </c>
      <c r="N37" s="324"/>
      <c r="O37" s="259">
        <f t="shared" si="3"/>
        <v>18948.827719197008</v>
      </c>
      <c r="P37" s="260">
        <f t="shared" si="37"/>
        <v>587409.48315759108</v>
      </c>
      <c r="Q37" s="169">
        <f t="shared" si="4"/>
        <v>364.9993313191477</v>
      </c>
      <c r="R37" s="169">
        <f t="shared" si="42"/>
        <v>0</v>
      </c>
      <c r="S37" s="368" t="str">
        <f t="shared" si="12"/>
        <v/>
      </c>
      <c r="T37" s="169"/>
      <c r="U37" s="169"/>
      <c r="V37" s="170" t="str">
        <f t="shared" si="38"/>
        <v/>
      </c>
      <c r="W37" s="170" t="str">
        <f t="shared" si="39"/>
        <v/>
      </c>
      <c r="X37" s="259">
        <f t="shared" si="43"/>
        <v>0</v>
      </c>
      <c r="Y37" s="259">
        <f t="shared" si="43"/>
        <v>0</v>
      </c>
      <c r="Z37" s="259">
        <f t="shared" si="43"/>
        <v>0</v>
      </c>
      <c r="AA37" s="348">
        <f t="shared" si="8"/>
        <v>0</v>
      </c>
      <c r="AB37" s="274">
        <f t="shared" si="13"/>
        <v>0</v>
      </c>
      <c r="AC37" s="97"/>
      <c r="AD37" s="97"/>
      <c r="AE37" s="100"/>
      <c r="AF37" s="100"/>
      <c r="AG37" s="100"/>
    </row>
    <row r="38" spans="1:33" ht="16" thickBot="1">
      <c r="A38" s="1"/>
      <c r="B38" s="53">
        <f t="shared" si="35"/>
        <v>43457</v>
      </c>
      <c r="C38" s="41">
        <f t="shared" si="40"/>
        <v>43457</v>
      </c>
      <c r="D38" s="54">
        <f t="shared" ca="1" si="1"/>
        <v>-319</v>
      </c>
      <c r="E38" s="117" t="s">
        <v>7</v>
      </c>
      <c r="F38" s="55"/>
      <c r="G38" s="56"/>
      <c r="H38" s="56"/>
      <c r="I38" s="200"/>
      <c r="J38" s="56"/>
      <c r="K38" s="201" t="str">
        <f t="shared" si="44"/>
        <v/>
      </c>
      <c r="L38" s="56"/>
      <c r="M38" s="56" t="str">
        <f t="shared" si="41"/>
        <v/>
      </c>
      <c r="N38" s="329"/>
      <c r="O38" s="259">
        <f t="shared" si="3"/>
        <v>18948.827719197008</v>
      </c>
      <c r="P38" s="260">
        <f t="shared" si="37"/>
        <v>587409.48315759108</v>
      </c>
      <c r="Q38" s="169">
        <f t="shared" si="4"/>
        <v>364.9993313191477</v>
      </c>
      <c r="R38" s="169">
        <f t="shared" si="42"/>
        <v>0</v>
      </c>
      <c r="S38" s="368" t="str">
        <f t="shared" si="12"/>
        <v/>
      </c>
      <c r="T38" s="169"/>
      <c r="U38" s="169"/>
      <c r="V38" s="170" t="str">
        <f t="shared" si="38"/>
        <v/>
      </c>
      <c r="W38" s="170" t="str">
        <f t="shared" si="39"/>
        <v/>
      </c>
      <c r="X38" s="259">
        <f t="shared" si="43"/>
        <v>0</v>
      </c>
      <c r="Y38" s="259">
        <f t="shared" si="43"/>
        <v>0</v>
      </c>
      <c r="Z38" s="259">
        <f t="shared" si="43"/>
        <v>0</v>
      </c>
      <c r="AA38" s="348">
        <f t="shared" si="8"/>
        <v>0</v>
      </c>
      <c r="AB38" s="274">
        <f t="shared" si="13"/>
        <v>0</v>
      </c>
      <c r="AC38" s="97"/>
      <c r="AD38" s="97"/>
      <c r="AE38" s="100"/>
      <c r="AF38" s="100"/>
      <c r="AG38" s="100"/>
    </row>
    <row r="39" spans="1:33" ht="16" thickTop="1">
      <c r="A39" s="29"/>
      <c r="B39" s="16"/>
      <c r="C39" s="42"/>
      <c r="D39" s="60">
        <f ca="1">TODAY()-C39</f>
        <v>43138</v>
      </c>
      <c r="E39" s="113" t="s">
        <v>76</v>
      </c>
      <c r="F39" s="59">
        <f ca="1">G39*0.000568181818</f>
        <v>-1.2427401132386871E-58</v>
      </c>
      <c r="G39" s="19">
        <f ca="1">H39*1.0936113</f>
        <v>-2.1872226000000002E-55</v>
      </c>
      <c r="H39" s="20">
        <f ca="1">IF(TODAY()&gt;=B32,(AA38-AA29)*1000,-2E-55)</f>
        <v>-2E-55</v>
      </c>
      <c r="I39" s="152"/>
      <c r="J39" s="218" t="s">
        <v>137</v>
      </c>
      <c r="K39" s="155"/>
      <c r="L39" s="219" t="s">
        <v>138</v>
      </c>
      <c r="M39" s="155"/>
      <c r="N39" s="331" t="s">
        <v>139</v>
      </c>
      <c r="O39" s="259" t="str">
        <f t="shared" si="3"/>
        <v/>
      </c>
      <c r="P39" s="260"/>
      <c r="Q39" s="169">
        <f t="shared" si="4"/>
        <v>0</v>
      </c>
      <c r="R39" s="350"/>
      <c r="S39" s="368" t="str">
        <f t="shared" si="12"/>
        <v/>
      </c>
      <c r="T39" s="350"/>
      <c r="U39" s="350"/>
      <c r="V39" s="350"/>
      <c r="W39" s="350"/>
      <c r="X39" s="234"/>
      <c r="Y39" s="234"/>
      <c r="Z39" s="234"/>
      <c r="AA39" s="348">
        <f t="shared" si="8"/>
        <v>0</v>
      </c>
      <c r="AB39" s="274">
        <f t="shared" si="13"/>
        <v>0</v>
      </c>
      <c r="AC39" s="97"/>
      <c r="AD39" s="97"/>
      <c r="AE39" s="100"/>
      <c r="AF39" s="100"/>
      <c r="AG39" s="100"/>
    </row>
    <row r="40" spans="1:33" ht="16" thickBot="1">
      <c r="A40" s="28"/>
      <c r="B40" s="17"/>
      <c r="C40" s="39"/>
      <c r="D40" s="61">
        <f ca="1">TODAY()-C40</f>
        <v>43138</v>
      </c>
      <c r="E40" s="116" t="s">
        <v>33</v>
      </c>
      <c r="F40" s="62">
        <f>G40*0.0005681818</f>
        <v>82.419143069007788</v>
      </c>
      <c r="G40" s="63">
        <f>H40*1.0936113</f>
        <v>145057.6964433</v>
      </c>
      <c r="H40" s="6">
        <f>INT(SUM($O32:$O38))</f>
        <v>132641</v>
      </c>
      <c r="I40" s="153"/>
      <c r="J40" s="156"/>
      <c r="K40" s="157"/>
      <c r="L40" s="217">
        <f>COUNT(S5:S51)-COUNT(V5:V51)</f>
        <v>0</v>
      </c>
      <c r="M40" s="157"/>
      <c r="N40" s="157"/>
      <c r="O40" s="259" t="str">
        <f t="shared" si="3"/>
        <v/>
      </c>
      <c r="P40" s="260"/>
      <c r="Q40" s="169">
        <f t="shared" si="4"/>
        <v>0</v>
      </c>
      <c r="R40" s="351"/>
      <c r="S40" s="368" t="str">
        <f t="shared" si="12"/>
        <v/>
      </c>
      <c r="T40" s="351"/>
      <c r="U40" s="351"/>
      <c r="V40" s="351"/>
      <c r="W40" s="351"/>
      <c r="X40" s="234"/>
      <c r="Y40" s="234"/>
      <c r="Z40" s="234"/>
      <c r="AA40" s="348">
        <f t="shared" si="8"/>
        <v>0</v>
      </c>
      <c r="AB40" s="274">
        <f t="shared" si="13"/>
        <v>0</v>
      </c>
      <c r="AC40" s="97"/>
      <c r="AD40" s="97"/>
      <c r="AE40" s="100"/>
      <c r="AF40" s="100"/>
      <c r="AG40" s="100"/>
    </row>
    <row r="41" spans="1:33" ht="16" thickTop="1">
      <c r="A41" s="1" t="s">
        <v>12</v>
      </c>
      <c r="B41" s="57">
        <f t="shared" ref="B41:B47" si="45">IF(B$3&lt;C41,0,C41)</f>
        <v>43458</v>
      </c>
      <c r="C41" s="40">
        <f>C38+1</f>
        <v>43458</v>
      </c>
      <c r="D41" s="22">
        <f t="shared" ca="1" si="1"/>
        <v>-320</v>
      </c>
      <c r="E41" s="118" t="str">
        <f>IF(B41=0,"","Monday")</f>
        <v>Monday</v>
      </c>
      <c r="F41" s="55"/>
      <c r="G41" s="56"/>
      <c r="H41" s="56"/>
      <c r="I41" s="200"/>
      <c r="J41" s="128"/>
      <c r="K41" s="201" t="str">
        <f t="shared" ref="K41" si="46">IF(R41=0,"",IF(L41="","",J41))</f>
        <v/>
      </c>
      <c r="L41" s="128"/>
      <c r="M41" s="56" t="str">
        <f>IF(R41=0,"",IF(J41="","",L41))</f>
        <v/>
      </c>
      <c r="N41" s="330"/>
      <c r="O41" s="259">
        <f t="shared" si="3"/>
        <v>18948.827719197008</v>
      </c>
      <c r="P41" s="260">
        <f t="shared" ref="P41:P47" si="47">H$56</f>
        <v>587409.48315759108</v>
      </c>
      <c r="Q41" s="169">
        <f t="shared" si="4"/>
        <v>364.9993313191477</v>
      </c>
      <c r="R41" s="169">
        <f>IF(R$2=3,H41+G41/1.0936133+F41/0.0006213712,IF(R$2=2,H41*1.0936133+G41+F41/0.0005681818,IF(R$2=1,H41*0.0005681818*1.0936133+G41*0.0005681818+F41,"")))</f>
        <v>0</v>
      </c>
      <c r="S41" s="368" t="str">
        <f t="shared" si="12"/>
        <v/>
      </c>
      <c r="T41" s="169"/>
      <c r="U41" s="169"/>
      <c r="V41" s="170" t="str">
        <f t="shared" ref="V41:V47" si="48">IF(L41="","",IF(R41=0,"",IF(B41=0,"",IF($R$2=3,R41/L41*60/1000,IF($R$2=2,R41/L41*60/1760,IF($R$2=1,R41/L41*60,""))))))</f>
        <v/>
      </c>
      <c r="W41" s="170" t="str">
        <f t="shared" ref="W41:W47" si="49">IF(R41=0,"",IF(L41="","",V41*L41))</f>
        <v/>
      </c>
      <c r="X41" s="259">
        <f>F41+X38</f>
        <v>0</v>
      </c>
      <c r="Y41" s="259">
        <f>G41+Y38</f>
        <v>0</v>
      </c>
      <c r="Z41" s="259">
        <f>H41+Z38</f>
        <v>0</v>
      </c>
      <c r="AA41" s="348">
        <f t="shared" si="8"/>
        <v>0</v>
      </c>
      <c r="AB41" s="274">
        <f t="shared" si="13"/>
        <v>0</v>
      </c>
      <c r="AC41" s="97"/>
      <c r="AD41" s="97"/>
      <c r="AE41" s="100"/>
      <c r="AF41" s="100"/>
      <c r="AG41" s="100"/>
    </row>
    <row r="42" spans="1:33">
      <c r="A42" s="1"/>
      <c r="B42" s="5">
        <f t="shared" si="45"/>
        <v>43459</v>
      </c>
      <c r="C42" s="38">
        <f t="shared" ref="C42:C47" si="50">C41+1</f>
        <v>43459</v>
      </c>
      <c r="D42" s="7">
        <f t="shared" ca="1" si="1"/>
        <v>-321</v>
      </c>
      <c r="E42" s="114" t="str">
        <f>IF(B42=0,"","Tuesday")</f>
        <v>Tuesday</v>
      </c>
      <c r="F42" s="55"/>
      <c r="G42" s="56"/>
      <c r="H42" s="56"/>
      <c r="I42" s="200"/>
      <c r="J42" s="56"/>
      <c r="K42" s="201" t="str">
        <f>IF(R42=0,"",IF(L42="","",J42))</f>
        <v/>
      </c>
      <c r="L42" s="56"/>
      <c r="M42" s="56" t="str">
        <f t="shared" ref="M42:M47" si="51">IF(R42=0,"",IF(J42="","",L42))</f>
        <v/>
      </c>
      <c r="N42" s="324"/>
      <c r="O42" s="259">
        <f t="shared" si="3"/>
        <v>18948.827719197008</v>
      </c>
      <c r="P42" s="260">
        <f t="shared" si="47"/>
        <v>587409.48315759108</v>
      </c>
      <c r="Q42" s="169">
        <f t="shared" si="4"/>
        <v>364.9993313191477</v>
      </c>
      <c r="R42" s="169">
        <f t="shared" ref="R42:R47" si="52">IF(R$2=3,H42+G42/1.0936133+F42/0.0006213712,IF(R$2=2,H42*1.0936133+G42+F42/0.0005681818,IF(R$2=1,H42*0.0005681818*1.0936133+G42*0.0005681818+F42,"")))</f>
        <v>0</v>
      </c>
      <c r="S42" s="368" t="str">
        <f t="shared" si="12"/>
        <v/>
      </c>
      <c r="T42" s="169"/>
      <c r="U42" s="169"/>
      <c r="V42" s="170" t="str">
        <f t="shared" si="48"/>
        <v/>
      </c>
      <c r="W42" s="170" t="str">
        <f t="shared" si="49"/>
        <v/>
      </c>
      <c r="X42" s="259">
        <f t="shared" ref="X42:Z47" si="53">F42+X41</f>
        <v>0</v>
      </c>
      <c r="Y42" s="259">
        <f t="shared" si="53"/>
        <v>0</v>
      </c>
      <c r="Z42" s="259">
        <f t="shared" si="53"/>
        <v>0</v>
      </c>
      <c r="AA42" s="348">
        <f t="shared" si="8"/>
        <v>0</v>
      </c>
      <c r="AB42" s="274">
        <f t="shared" si="13"/>
        <v>0</v>
      </c>
      <c r="AC42" s="97"/>
      <c r="AD42" s="97"/>
      <c r="AE42" s="100"/>
      <c r="AF42" s="100"/>
      <c r="AG42" s="100"/>
    </row>
    <row r="43" spans="1:33">
      <c r="A43" s="1"/>
      <c r="B43" s="5">
        <f t="shared" si="45"/>
        <v>43460</v>
      </c>
      <c r="C43" s="38">
        <f t="shared" si="50"/>
        <v>43460</v>
      </c>
      <c r="D43" s="7">
        <f t="shared" ca="1" si="1"/>
        <v>-322</v>
      </c>
      <c r="E43" s="114" t="str">
        <f>IF(B43=0,"","Wednesday")</f>
        <v>Wednesday</v>
      </c>
      <c r="F43" s="55"/>
      <c r="G43" s="56"/>
      <c r="H43" s="56"/>
      <c r="I43" s="200"/>
      <c r="J43" s="56"/>
      <c r="K43" s="201" t="str">
        <f t="shared" ref="K43:K47" si="54">IF(R43=0,"",IF(L43="","",J43))</f>
        <v/>
      </c>
      <c r="L43" s="56"/>
      <c r="M43" s="56" t="str">
        <f t="shared" si="51"/>
        <v/>
      </c>
      <c r="N43" s="324"/>
      <c r="O43" s="259">
        <f t="shared" si="3"/>
        <v>18948.827719197008</v>
      </c>
      <c r="P43" s="260">
        <f t="shared" si="47"/>
        <v>587409.48315759108</v>
      </c>
      <c r="Q43" s="169">
        <f t="shared" si="4"/>
        <v>364.9993313191477</v>
      </c>
      <c r="R43" s="169">
        <f t="shared" si="52"/>
        <v>0</v>
      </c>
      <c r="S43" s="368" t="str">
        <f t="shared" si="12"/>
        <v/>
      </c>
      <c r="T43" s="169"/>
      <c r="U43" s="169"/>
      <c r="V43" s="170" t="str">
        <f t="shared" si="48"/>
        <v/>
      </c>
      <c r="W43" s="170" t="str">
        <f t="shared" si="49"/>
        <v/>
      </c>
      <c r="X43" s="259">
        <f t="shared" si="53"/>
        <v>0</v>
      </c>
      <c r="Y43" s="259">
        <f t="shared" si="53"/>
        <v>0</v>
      </c>
      <c r="Z43" s="259">
        <f t="shared" si="53"/>
        <v>0</v>
      </c>
      <c r="AA43" s="348">
        <f t="shared" si="8"/>
        <v>0</v>
      </c>
      <c r="AB43" s="274">
        <f t="shared" si="13"/>
        <v>0</v>
      </c>
      <c r="AC43" s="97"/>
      <c r="AD43" s="97"/>
      <c r="AE43" s="100"/>
      <c r="AF43" s="100"/>
      <c r="AG43" s="100"/>
    </row>
    <row r="44" spans="1:33">
      <c r="A44" s="1"/>
      <c r="B44" s="5">
        <f t="shared" si="45"/>
        <v>43461</v>
      </c>
      <c r="C44" s="38">
        <f t="shared" si="50"/>
        <v>43461</v>
      </c>
      <c r="D44" s="7">
        <f t="shared" ca="1" si="1"/>
        <v>-323</v>
      </c>
      <c r="E44" s="114" t="str">
        <f>IF(B44=0,"","Thursday")</f>
        <v>Thursday</v>
      </c>
      <c r="F44" s="55"/>
      <c r="G44" s="56"/>
      <c r="H44" s="56"/>
      <c r="I44" s="200"/>
      <c r="J44" s="56"/>
      <c r="K44" s="201" t="str">
        <f t="shared" si="54"/>
        <v/>
      </c>
      <c r="L44" s="56"/>
      <c r="M44" s="56" t="str">
        <f t="shared" si="51"/>
        <v/>
      </c>
      <c r="N44" s="324"/>
      <c r="O44" s="259">
        <f t="shared" si="3"/>
        <v>18948.827719197008</v>
      </c>
      <c r="P44" s="260">
        <f t="shared" si="47"/>
        <v>587409.48315759108</v>
      </c>
      <c r="Q44" s="169">
        <f t="shared" si="4"/>
        <v>364.9993313191477</v>
      </c>
      <c r="R44" s="169">
        <f t="shared" si="52"/>
        <v>0</v>
      </c>
      <c r="S44" s="368" t="str">
        <f t="shared" si="12"/>
        <v/>
      </c>
      <c r="T44" s="169"/>
      <c r="U44" s="169"/>
      <c r="V44" s="170" t="str">
        <f t="shared" si="48"/>
        <v/>
      </c>
      <c r="W44" s="170" t="str">
        <f t="shared" si="49"/>
        <v/>
      </c>
      <c r="X44" s="259">
        <f t="shared" si="53"/>
        <v>0</v>
      </c>
      <c r="Y44" s="259">
        <f t="shared" si="53"/>
        <v>0</v>
      </c>
      <c r="Z44" s="259">
        <f t="shared" si="53"/>
        <v>0</v>
      </c>
      <c r="AA44" s="348">
        <f t="shared" si="8"/>
        <v>0</v>
      </c>
      <c r="AB44" s="274">
        <f t="shared" si="13"/>
        <v>0</v>
      </c>
      <c r="AC44" s="97"/>
      <c r="AD44" s="97"/>
      <c r="AE44" s="100"/>
      <c r="AF44" s="100"/>
      <c r="AG44" s="100"/>
    </row>
    <row r="45" spans="1:33">
      <c r="A45" s="1"/>
      <c r="B45" s="5">
        <f t="shared" si="45"/>
        <v>43462</v>
      </c>
      <c r="C45" s="38">
        <f t="shared" si="50"/>
        <v>43462</v>
      </c>
      <c r="D45" s="7">
        <f t="shared" ca="1" si="1"/>
        <v>-324</v>
      </c>
      <c r="E45" s="114" t="str">
        <f>IF(B45=0,"","Friday")</f>
        <v>Friday</v>
      </c>
      <c r="F45" s="55"/>
      <c r="G45" s="56"/>
      <c r="H45" s="56"/>
      <c r="I45" s="200"/>
      <c r="J45" s="56"/>
      <c r="K45" s="201" t="str">
        <f t="shared" si="54"/>
        <v/>
      </c>
      <c r="L45" s="56"/>
      <c r="M45" s="56" t="str">
        <f t="shared" si="51"/>
        <v/>
      </c>
      <c r="N45" s="324"/>
      <c r="O45" s="259">
        <f t="shared" si="3"/>
        <v>18948.827719197008</v>
      </c>
      <c r="P45" s="260">
        <f t="shared" si="47"/>
        <v>587409.48315759108</v>
      </c>
      <c r="Q45" s="169">
        <f t="shared" si="4"/>
        <v>364.9993313191477</v>
      </c>
      <c r="R45" s="169">
        <f t="shared" si="52"/>
        <v>0</v>
      </c>
      <c r="S45" s="368" t="str">
        <f t="shared" si="12"/>
        <v/>
      </c>
      <c r="T45" s="169"/>
      <c r="U45" s="169"/>
      <c r="V45" s="170" t="str">
        <f t="shared" si="48"/>
        <v/>
      </c>
      <c r="W45" s="170" t="str">
        <f t="shared" si="49"/>
        <v/>
      </c>
      <c r="X45" s="259">
        <f t="shared" si="53"/>
        <v>0</v>
      </c>
      <c r="Y45" s="259">
        <f t="shared" si="53"/>
        <v>0</v>
      </c>
      <c r="Z45" s="259">
        <f t="shared" si="53"/>
        <v>0</v>
      </c>
      <c r="AA45" s="348">
        <f t="shared" si="8"/>
        <v>0</v>
      </c>
      <c r="AB45" s="274">
        <f t="shared" si="13"/>
        <v>0</v>
      </c>
      <c r="AC45" s="97"/>
      <c r="AD45" s="97"/>
      <c r="AE45" s="100"/>
      <c r="AF45" s="100"/>
      <c r="AG45" s="100"/>
    </row>
    <row r="46" spans="1:33">
      <c r="A46" s="1"/>
      <c r="B46" s="5">
        <f t="shared" si="45"/>
        <v>43463</v>
      </c>
      <c r="C46" s="38">
        <f t="shared" si="50"/>
        <v>43463</v>
      </c>
      <c r="D46" s="7">
        <f t="shared" ca="1" si="1"/>
        <v>-325</v>
      </c>
      <c r="E46" s="114" t="str">
        <f>IF(B46=0,"","Saturday")</f>
        <v>Saturday</v>
      </c>
      <c r="F46" s="55"/>
      <c r="G46" s="56"/>
      <c r="H46" s="56"/>
      <c r="I46" s="200"/>
      <c r="J46" s="56"/>
      <c r="K46" s="201" t="str">
        <f t="shared" si="54"/>
        <v/>
      </c>
      <c r="L46" s="56"/>
      <c r="M46" s="56" t="str">
        <f t="shared" si="51"/>
        <v/>
      </c>
      <c r="N46" s="324"/>
      <c r="O46" s="259">
        <f t="shared" si="3"/>
        <v>18948.827719197008</v>
      </c>
      <c r="P46" s="260">
        <f t="shared" si="47"/>
        <v>587409.48315759108</v>
      </c>
      <c r="Q46" s="169">
        <f t="shared" si="4"/>
        <v>364.9993313191477</v>
      </c>
      <c r="R46" s="169">
        <f t="shared" si="52"/>
        <v>0</v>
      </c>
      <c r="S46" s="368" t="str">
        <f t="shared" si="12"/>
        <v/>
      </c>
      <c r="T46" s="169"/>
      <c r="U46" s="169"/>
      <c r="V46" s="170" t="str">
        <f t="shared" si="48"/>
        <v/>
      </c>
      <c r="W46" s="170" t="str">
        <f t="shared" si="49"/>
        <v/>
      </c>
      <c r="X46" s="259">
        <f t="shared" si="53"/>
        <v>0</v>
      </c>
      <c r="Y46" s="259">
        <f t="shared" si="53"/>
        <v>0</v>
      </c>
      <c r="Z46" s="259">
        <f t="shared" si="53"/>
        <v>0</v>
      </c>
      <c r="AA46" s="348">
        <f t="shared" si="8"/>
        <v>0</v>
      </c>
      <c r="AB46" s="274">
        <f t="shared" si="13"/>
        <v>0</v>
      </c>
      <c r="AC46" s="97"/>
      <c r="AD46" s="97"/>
      <c r="AE46" s="100"/>
      <c r="AF46" s="100"/>
      <c r="AG46" s="100"/>
    </row>
    <row r="47" spans="1:33" ht="16" thickBot="1">
      <c r="A47" s="1"/>
      <c r="B47" s="53">
        <f t="shared" si="45"/>
        <v>43464</v>
      </c>
      <c r="C47" s="41">
        <f t="shared" si="50"/>
        <v>43464</v>
      </c>
      <c r="D47" s="54">
        <f t="shared" ca="1" si="1"/>
        <v>-326</v>
      </c>
      <c r="E47" s="117" t="str">
        <f>IF(B47=0,"","Sunday")</f>
        <v>Sunday</v>
      </c>
      <c r="F47" s="55"/>
      <c r="G47" s="56"/>
      <c r="H47" s="56"/>
      <c r="I47" s="200"/>
      <c r="J47" s="56"/>
      <c r="K47" s="201" t="str">
        <f t="shared" si="54"/>
        <v/>
      </c>
      <c r="L47" s="56"/>
      <c r="M47" s="56" t="str">
        <f t="shared" si="51"/>
        <v/>
      </c>
      <c r="N47" s="329"/>
      <c r="O47" s="259">
        <f t="shared" si="3"/>
        <v>18948.827719197008</v>
      </c>
      <c r="P47" s="260">
        <f t="shared" si="47"/>
        <v>587409.48315759108</v>
      </c>
      <c r="Q47" s="169">
        <f t="shared" si="4"/>
        <v>364.9993313191477</v>
      </c>
      <c r="R47" s="169">
        <f t="shared" si="52"/>
        <v>0</v>
      </c>
      <c r="S47" s="368" t="str">
        <f t="shared" si="12"/>
        <v/>
      </c>
      <c r="T47" s="169"/>
      <c r="U47" s="169"/>
      <c r="V47" s="170" t="str">
        <f t="shared" si="48"/>
        <v/>
      </c>
      <c r="W47" s="170" t="str">
        <f t="shared" si="49"/>
        <v/>
      </c>
      <c r="X47" s="259">
        <f t="shared" si="53"/>
        <v>0</v>
      </c>
      <c r="Y47" s="259">
        <f t="shared" si="53"/>
        <v>0</v>
      </c>
      <c r="Z47" s="259">
        <f t="shared" si="53"/>
        <v>0</v>
      </c>
      <c r="AA47" s="348">
        <f t="shared" si="8"/>
        <v>0</v>
      </c>
      <c r="AB47" s="274">
        <f t="shared" si="13"/>
        <v>0</v>
      </c>
      <c r="AC47" s="97"/>
      <c r="AD47" s="97"/>
      <c r="AE47" s="100"/>
      <c r="AF47" s="100"/>
      <c r="AG47" s="100"/>
    </row>
    <row r="48" spans="1:33" ht="16" thickTop="1">
      <c r="A48" s="29"/>
      <c r="B48" s="16"/>
      <c r="C48" s="42"/>
      <c r="D48" s="60">
        <f ca="1">TODAY()-C48</f>
        <v>43138</v>
      </c>
      <c r="E48" s="113" t="s">
        <v>76</v>
      </c>
      <c r="F48" s="59">
        <f ca="1">G48*0.000568181818</f>
        <v>-1.2427401132386871E-58</v>
      </c>
      <c r="G48" s="19">
        <f ca="1">H48*1.0936113</f>
        <v>-2.1872226000000002E-55</v>
      </c>
      <c r="H48" s="20">
        <f ca="1">IF(SUM(B41:B47)=0,-1E-55,IF(TODAY()&gt;=B$41,(AA47-AA38)*1000,-2E-55))</f>
        <v>-2E-55</v>
      </c>
      <c r="I48" s="152"/>
      <c r="J48" s="432" t="s">
        <v>121</v>
      </c>
      <c r="K48" s="456"/>
      <c r="L48" s="456"/>
      <c r="M48" s="457"/>
      <c r="N48" s="457"/>
      <c r="O48" s="259" t="str">
        <f t="shared" si="3"/>
        <v/>
      </c>
      <c r="P48" s="230"/>
      <c r="Q48" s="169">
        <f t="shared" si="4"/>
        <v>0</v>
      </c>
      <c r="R48" s="350"/>
      <c r="S48" s="368" t="str">
        <f t="shared" si="12"/>
        <v/>
      </c>
      <c r="T48" s="350"/>
      <c r="U48" s="350"/>
      <c r="V48" s="350"/>
      <c r="W48" s="350"/>
      <c r="X48" s="259"/>
      <c r="Y48" s="259" t="str">
        <f>IF(A48=0,"",G48+Y36)</f>
        <v/>
      </c>
      <c r="Z48" s="259" t="str">
        <f>IF(B48=0,"",H48+Z36)</f>
        <v/>
      </c>
      <c r="AA48" s="348"/>
      <c r="AB48" s="274">
        <f t="shared" si="13"/>
        <v>0</v>
      </c>
      <c r="AC48" s="97"/>
      <c r="AD48" s="97"/>
      <c r="AE48" s="100"/>
      <c r="AF48" s="100"/>
      <c r="AG48" s="100"/>
    </row>
    <row r="49" spans="1:54" ht="19" thickBot="1">
      <c r="A49" s="28"/>
      <c r="B49" s="17"/>
      <c r="C49" s="39"/>
      <c r="D49" s="61">
        <f ca="1">TODAY()-C49</f>
        <v>43138</v>
      </c>
      <c r="E49" s="116" t="s">
        <v>33</v>
      </c>
      <c r="F49" s="62">
        <f>G49*0.0005681818</f>
        <v>82.419143069007788</v>
      </c>
      <c r="G49" s="63">
        <f>H49*1.0936113</f>
        <v>145057.6964433</v>
      </c>
      <c r="H49" s="6">
        <f>INT(SUM($O41:$O47))</f>
        <v>132641</v>
      </c>
      <c r="I49" s="153"/>
      <c r="J49" s="434" t="str">
        <f>IF(R$2=1,"MILES",IF(R$2=2,"YARDS",IF(R$2=3,"METRES","????")))</f>
        <v>MILES</v>
      </c>
      <c r="K49" s="441"/>
      <c r="L49" s="441"/>
      <c r="M49" s="442"/>
      <c r="N49" s="442"/>
      <c r="O49" s="259" t="str">
        <f t="shared" si="3"/>
        <v/>
      </c>
      <c r="P49" s="234"/>
      <c r="Q49" s="169">
        <f t="shared" si="4"/>
        <v>0</v>
      </c>
      <c r="R49" s="351"/>
      <c r="S49" s="368" t="str">
        <f t="shared" si="12"/>
        <v/>
      </c>
      <c r="T49" s="351"/>
      <c r="U49" s="351"/>
      <c r="V49" s="351"/>
      <c r="W49" s="351"/>
      <c r="X49" s="259"/>
      <c r="Y49" s="259" t="str">
        <f>IF(A49=0,"",G49+Y37)</f>
        <v/>
      </c>
      <c r="Z49" s="259" t="str">
        <f>IF(B49=0,"",H49+Z37)</f>
        <v/>
      </c>
      <c r="AA49" s="348"/>
      <c r="AB49" s="274">
        <f t="shared" si="13"/>
        <v>0</v>
      </c>
      <c r="AC49" s="288"/>
      <c r="AD49" s="288"/>
      <c r="AE49" s="239"/>
      <c r="AF49" s="239"/>
      <c r="AG49" s="239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</row>
    <row r="50" spans="1:54" ht="16" thickTop="1">
      <c r="A50" s="1" t="s">
        <v>22</v>
      </c>
      <c r="B50" s="57">
        <f t="shared" ref="B50:B51" si="55">IF(B$3&lt;C50,0,C50)</f>
        <v>43465</v>
      </c>
      <c r="C50" s="40">
        <f>C47+1</f>
        <v>43465</v>
      </c>
      <c r="D50" s="22">
        <f t="shared" ca="1" si="1"/>
        <v>-327</v>
      </c>
      <c r="E50" s="118" t="str">
        <f>IF(B50=0,"","Monday")</f>
        <v>Monday</v>
      </c>
      <c r="F50" s="55"/>
      <c r="G50" s="56"/>
      <c r="H50" s="56"/>
      <c r="I50" s="200"/>
      <c r="J50" s="128"/>
      <c r="K50" s="201" t="str">
        <f t="shared" ref="K50" si="56">IF(R50=0,"",IF(L50="","",J50))</f>
        <v/>
      </c>
      <c r="L50" s="128"/>
      <c r="M50" s="56" t="str">
        <f>IF(R50=0,"",IF(J50="","",L50))</f>
        <v/>
      </c>
      <c r="N50" s="330"/>
      <c r="O50" s="259">
        <f t="shared" si="3"/>
        <v>18948.827719197008</v>
      </c>
      <c r="P50" s="260">
        <f>H$56</f>
        <v>587409.48315759108</v>
      </c>
      <c r="Q50" s="169">
        <f t="shared" si="4"/>
        <v>364.9993313191477</v>
      </c>
      <c r="R50" s="169">
        <f>IF(R$2=3,H50+G50/1.0936133+F50/0.0006213712,IF(R$2=2,H50*1.0936133+G50+F50/0.0005681818,IF(R$2=1,H50*0.0005681818*1.0936133+G50*0.0005681818+F50,"")))</f>
        <v>0</v>
      </c>
      <c r="S50" s="368" t="str">
        <f t="shared" si="12"/>
        <v/>
      </c>
      <c r="T50" s="169"/>
      <c r="U50" s="169"/>
      <c r="V50" s="170" t="str">
        <f>IF(L50="","",IF(R50=0,"",IF(B50=0,"",IF($R$2=3,R50/L50*60/1000,IF($R$2=2,R50/L50*60/1760,IF($R$2=1,R50/L50*60,""))))))</f>
        <v/>
      </c>
      <c r="W50" s="170" t="str">
        <f>IF(R50=0,"",IF(L50="","",V50*L50))</f>
        <v/>
      </c>
      <c r="X50" s="259">
        <f>F50+X47</f>
        <v>0</v>
      </c>
      <c r="Y50" s="259">
        <f>G50+Y47</f>
        <v>0</v>
      </c>
      <c r="Z50" s="259">
        <f>H50+Z47</f>
        <v>0</v>
      </c>
      <c r="AA50" s="348">
        <f t="shared" si="8"/>
        <v>0</v>
      </c>
      <c r="AB50" s="274">
        <f t="shared" si="13"/>
        <v>0</v>
      </c>
      <c r="AC50" s="97"/>
      <c r="AD50" s="97"/>
      <c r="AE50" s="100"/>
      <c r="AF50" s="100"/>
      <c r="AG50" s="100"/>
    </row>
    <row r="51" spans="1:54" ht="16" thickBot="1">
      <c r="A51" s="1"/>
      <c r="B51" s="5">
        <f t="shared" si="55"/>
        <v>0</v>
      </c>
      <c r="C51" s="38">
        <f t="shared" ref="C51" si="57">C50+1</f>
        <v>43466</v>
      </c>
      <c r="D51" s="7">
        <f t="shared" ca="1" si="1"/>
        <v>-328</v>
      </c>
      <c r="E51" s="114" t="str">
        <f>IF(B51=0,"","Tuesday")</f>
        <v/>
      </c>
      <c r="F51" s="55"/>
      <c r="G51" s="56"/>
      <c r="H51" s="56"/>
      <c r="I51" s="200"/>
      <c r="J51" s="56"/>
      <c r="K51" s="201" t="str">
        <f>IF(R51=0,"",IF(L51="","",J51))</f>
        <v/>
      </c>
      <c r="L51" s="56"/>
      <c r="M51" s="56" t="str">
        <f t="shared" ref="M51" si="58">IF(R51=0,"",IF(J51="","",L51))</f>
        <v/>
      </c>
      <c r="N51" s="329"/>
      <c r="O51" s="259" t="str">
        <f t="shared" si="3"/>
        <v/>
      </c>
      <c r="P51" s="260">
        <f>H$56</f>
        <v>587409.48315759108</v>
      </c>
      <c r="Q51" s="169">
        <f t="shared" si="4"/>
        <v>364.9993313191477</v>
      </c>
      <c r="R51" s="169">
        <f>IF(R$2=3,H51+G51/1.0936133+F51/0.0006213712,IF(R$2=2,H51*1.0936133+G51+F51/0.0005681818,IF(R$2=1,H51*0.0005681818*1.0936133+G51*0.0005681818+F51,"")))</f>
        <v>0</v>
      </c>
      <c r="S51" s="368" t="str">
        <f t="shared" si="12"/>
        <v/>
      </c>
      <c r="T51" s="169"/>
      <c r="U51" s="169"/>
      <c r="V51" s="170" t="str">
        <f>IF(L51="","",IF(R51=0,"",IF(B51=0,"",IF($R$2=3,R51/L51*60/1000,IF($R$2=2,R51/L51*60/1760,IF($R$2=1,R51/L51*60,""))))))</f>
        <v/>
      </c>
      <c r="W51" s="170" t="str">
        <f>IF(R51=0,"",IF(L51="","",V51*L51))</f>
        <v/>
      </c>
      <c r="X51" s="259">
        <f>F51+X50</f>
        <v>0</v>
      </c>
      <c r="Y51" s="259">
        <f>G51+Y50</f>
        <v>0</v>
      </c>
      <c r="Z51" s="259">
        <f>H51+Z50</f>
        <v>0</v>
      </c>
      <c r="AA51" s="348">
        <f t="shared" si="8"/>
        <v>0</v>
      </c>
      <c r="AB51" s="274">
        <f t="shared" si="13"/>
        <v>0</v>
      </c>
      <c r="AC51" s="97"/>
      <c r="AD51" s="97"/>
      <c r="AE51" s="100"/>
      <c r="AF51" s="100"/>
      <c r="AG51" s="100"/>
    </row>
    <row r="52" spans="1:54" ht="17" thickTop="1" thickBot="1">
      <c r="A52" s="29"/>
      <c r="B52" s="16"/>
      <c r="C52" s="42"/>
      <c r="D52" s="60"/>
      <c r="E52" s="113" t="s">
        <v>76</v>
      </c>
      <c r="F52" s="59">
        <f ca="1">G52*0.000568181818</f>
        <v>-1.2427401132386871E-58</v>
      </c>
      <c r="G52" s="19">
        <f ca="1">H52*1.0936113</f>
        <v>-2.1872226000000002E-55</v>
      </c>
      <c r="H52" s="129">
        <f ca="1">IF(SUM(B50:B51)=0,-1E-55,IF(TODAY()&gt;=B50,(AA51-AA47)*1000,-2E-55))</f>
        <v>-2E-55</v>
      </c>
      <c r="I52" s="137"/>
      <c r="J52" s="422" t="s">
        <v>120</v>
      </c>
      <c r="K52" s="423"/>
      <c r="L52" s="423"/>
      <c r="M52" s="147"/>
      <c r="N52" s="332" t="str">
        <f>IF(R$2=1,"Distance (miles)",IF(R$2=2,"Distance (yds)",IF(R$2=3,"Distance (km)","????")))</f>
        <v>Distance (miles)</v>
      </c>
      <c r="O52" s="259"/>
      <c r="P52" s="234" t="s">
        <v>1</v>
      </c>
      <c r="Q52" s="234" t="s">
        <v>2</v>
      </c>
      <c r="R52" s="234" t="s">
        <v>3</v>
      </c>
      <c r="S52" s="234" t="s">
        <v>4</v>
      </c>
      <c r="T52" s="234" t="s">
        <v>5</v>
      </c>
      <c r="U52" s="234" t="s">
        <v>6</v>
      </c>
      <c r="V52" s="234" t="s">
        <v>7</v>
      </c>
      <c r="W52" s="259"/>
      <c r="X52" s="259"/>
      <c r="Y52" s="259"/>
      <c r="Z52" s="348"/>
      <c r="AA52" s="274"/>
      <c r="AB52" s="226"/>
      <c r="AC52" s="97"/>
      <c r="AD52" s="100"/>
      <c r="AE52" s="100"/>
      <c r="AF52" s="100"/>
    </row>
    <row r="53" spans="1:54" ht="16" thickBot="1">
      <c r="A53" s="28"/>
      <c r="B53" s="17"/>
      <c r="C53" s="39"/>
      <c r="D53" s="61"/>
      <c r="E53" s="116" t="s">
        <v>33</v>
      </c>
      <c r="F53" s="62">
        <f>G53*0.0005681818</f>
        <v>11.774233779739893</v>
      </c>
      <c r="G53" s="63">
        <f>H53*1.0936113</f>
        <v>20722.652115467077</v>
      </c>
      <c r="H53" s="131">
        <f>IF(SUM($O50:$O51)=0,-1E-55,SUM($O50:$O51))</f>
        <v>18948.827719197008</v>
      </c>
      <c r="I53" s="136"/>
      <c r="J53" s="158" t="str">
        <f>'MY STATS'!AF44</f>
        <v/>
      </c>
      <c r="K53" s="159" t="str">
        <f>IF(J53="","x",J53)</f>
        <v>x</v>
      </c>
      <c r="L53" s="206" t="str">
        <f>IF(J53="","",SUMIF(K$5:K$51,K53,M$5:M$51)/1440)</f>
        <v/>
      </c>
      <c r="M53" s="207" t="str">
        <f>IF(J53="","",IF('MY STATS'!$A$15=3,SUMIF(K$5:K$51,J53,R$5:R$51)/1000,SUMIF(K$5:K$51,J53,R$5:R$51)))</f>
        <v/>
      </c>
      <c r="N53" s="333" t="str">
        <f>IF(J53="","",IF('MY STATS'!$A$15=3,SUMIF(J$5:J$51,J53,R$5:R$51)/1000,SUMIF(J$5:J$51,J53,R$5:R$51)))</f>
        <v/>
      </c>
      <c r="O53" s="353" t="s">
        <v>58</v>
      </c>
      <c r="P53" s="234">
        <f t="shared" ref="P53:V53" si="59">COUNTIFS($E$5:$E$51,P52)</f>
        <v>5</v>
      </c>
      <c r="Q53" s="234">
        <f t="shared" si="59"/>
        <v>4</v>
      </c>
      <c r="R53" s="234">
        <f t="shared" si="59"/>
        <v>4</v>
      </c>
      <c r="S53" s="234">
        <f t="shared" si="59"/>
        <v>4</v>
      </c>
      <c r="T53" s="234">
        <f t="shared" si="59"/>
        <v>4</v>
      </c>
      <c r="U53" s="234">
        <f t="shared" si="59"/>
        <v>5</v>
      </c>
      <c r="V53" s="234">
        <f t="shared" si="59"/>
        <v>5</v>
      </c>
      <c r="W53" s="259"/>
      <c r="X53" s="259"/>
      <c r="Y53" s="259"/>
      <c r="Z53" s="348"/>
      <c r="AA53" s="274"/>
      <c r="AB53" s="226"/>
      <c r="AC53" s="97"/>
      <c r="AD53" s="100"/>
      <c r="AE53" s="100"/>
      <c r="AF53" s="100"/>
    </row>
    <row r="54" spans="1:54" ht="17" thickTop="1" thickBot="1">
      <c r="A54" s="11"/>
      <c r="B54" s="11"/>
      <c r="C54" s="11"/>
      <c r="D54" s="11"/>
      <c r="E54" s="11"/>
      <c r="F54" s="11" t="s">
        <v>34</v>
      </c>
      <c r="G54" s="11" t="s">
        <v>35</v>
      </c>
      <c r="H54" s="11" t="s">
        <v>37</v>
      </c>
      <c r="I54" s="135"/>
      <c r="J54" s="160" t="str">
        <f>'MY STATS'!AG44</f>
        <v/>
      </c>
      <c r="K54" s="161" t="str">
        <f t="shared" ref="K54:K59" si="60">IF(J54="","x",J54)</f>
        <v>x</v>
      </c>
      <c r="L54" s="208" t="str">
        <f>IF(J54="","",SUMIF(K$5:K$51,K54,M$5:M$51)/1440)</f>
        <v/>
      </c>
      <c r="M54" s="209" t="str">
        <f>IF(J54="","",IF('MY STATS'!$A$15=3,SUMIF(K$5:K$51,J54,R$5:R$51)/1000,SUMIF(K$5:K$51,J54,R$5:R$51)))</f>
        <v/>
      </c>
      <c r="N54" s="334" t="str">
        <f>IF(J54="","",IF('MY STATS'!$A$15=3,SUMIF(J$5:J$51,J54,R$5:R$51)/1000,SUMIF(J$5:J$51,J54,R$5:R$51)))</f>
        <v/>
      </c>
      <c r="O54" s="353" t="s">
        <v>57</v>
      </c>
      <c r="P54" s="234">
        <f t="shared" ref="P54:V54" ca="1" si="61">COUNTIFS($D$5:$D$51,"&gt;-1",$E$5:$E$51,P52)</f>
        <v>0</v>
      </c>
      <c r="Q54" s="234">
        <f t="shared" ca="1" si="61"/>
        <v>0</v>
      </c>
      <c r="R54" s="234">
        <f t="shared" ca="1" si="61"/>
        <v>0</v>
      </c>
      <c r="S54" s="234">
        <f t="shared" ca="1" si="61"/>
        <v>0</v>
      </c>
      <c r="T54" s="234">
        <f t="shared" ca="1" si="61"/>
        <v>0</v>
      </c>
      <c r="U54" s="234">
        <f t="shared" ca="1" si="61"/>
        <v>0</v>
      </c>
      <c r="V54" s="234">
        <f t="shared" ca="1" si="61"/>
        <v>0</v>
      </c>
      <c r="W54" s="259"/>
      <c r="X54" s="259"/>
      <c r="Y54" s="259"/>
      <c r="Z54" s="348"/>
      <c r="AA54" s="274"/>
      <c r="AB54" s="226"/>
      <c r="AC54" s="97"/>
      <c r="AD54" s="100"/>
      <c r="AE54" s="100"/>
      <c r="AF54" s="100"/>
    </row>
    <row r="55" spans="1:54" ht="16" thickTop="1">
      <c r="A55" s="30"/>
      <c r="B55" s="58"/>
      <c r="C55" s="43"/>
      <c r="D55" s="43"/>
      <c r="E55" s="18" t="s">
        <v>36</v>
      </c>
      <c r="F55" s="88">
        <f>G55*0.000568181818</f>
        <v>0</v>
      </c>
      <c r="G55" s="89">
        <f>H55*1.0936113</f>
        <v>0</v>
      </c>
      <c r="H55" s="132">
        <f>AA$51*1000</f>
        <v>0</v>
      </c>
      <c r="I55" s="138"/>
      <c r="J55" s="160" t="str">
        <f>'MY STATS'!AH44</f>
        <v/>
      </c>
      <c r="K55" s="161" t="str">
        <f t="shared" si="60"/>
        <v>x</v>
      </c>
      <c r="L55" s="208" t="str">
        <f>IF(J55="","",SUMIF(K$5:K$51,K55,M$5:M$51)/1440)</f>
        <v/>
      </c>
      <c r="M55" s="209" t="str">
        <f>IF(J55="","",IF('MY STATS'!$A$15=3,SUMIF(K$5:K$51,J55,R$5:R$51)/1000,SUMIF(K$5:K$51,J55,R$5:R$51)))</f>
        <v/>
      </c>
      <c r="N55" s="334" t="str">
        <f>IF(J55="","",IF('MY STATS'!$A$15=3,SUMIF(J$5:J$51,J55,R$5:R$51)/1000,SUMIF(J$5:J$51,J55,R$5:R$51)))</f>
        <v/>
      </c>
      <c r="O55" s="353" t="s">
        <v>80</v>
      </c>
      <c r="P55" s="234">
        <f t="shared" ref="P55:V55" si="62">COUNTIFS($E$5:$E$51,P52,$R$5:$R$51,"&gt;0")</f>
        <v>0</v>
      </c>
      <c r="Q55" s="234">
        <f t="shared" si="62"/>
        <v>0</v>
      </c>
      <c r="R55" s="234">
        <f t="shared" si="62"/>
        <v>0</v>
      </c>
      <c r="S55" s="234">
        <f t="shared" si="62"/>
        <v>0</v>
      </c>
      <c r="T55" s="234">
        <f t="shared" si="62"/>
        <v>0</v>
      </c>
      <c r="U55" s="234">
        <f t="shared" si="62"/>
        <v>0</v>
      </c>
      <c r="V55" s="234">
        <f t="shared" si="62"/>
        <v>0</v>
      </c>
      <c r="W55" s="259"/>
      <c r="X55" s="259"/>
      <c r="Y55" s="259"/>
      <c r="Z55" s="348"/>
      <c r="AA55" s="274"/>
      <c r="AB55" s="226"/>
      <c r="AC55" s="97"/>
      <c r="AD55" s="100"/>
      <c r="AE55" s="100"/>
      <c r="AF55" s="100"/>
    </row>
    <row r="56" spans="1:54" ht="16" thickBot="1">
      <c r="A56" s="31"/>
      <c r="B56" s="44"/>
      <c r="C56" s="44"/>
      <c r="D56" s="44"/>
      <c r="E56" s="21" t="s">
        <v>51</v>
      </c>
      <c r="F56" s="47">
        <f>G56*0.000568181818</f>
        <v>364.9986638083717</v>
      </c>
      <c r="G56" s="48">
        <f>H56*1.0936113</f>
        <v>642397.64850830135</v>
      </c>
      <c r="H56" s="133">
        <f>SUM(H$53,H40,H31,H22,H49,H13)-1</f>
        <v>587409.48315759108</v>
      </c>
      <c r="I56" s="139"/>
      <c r="J56" s="160" t="str">
        <f>'MY STATS'!AI44</f>
        <v/>
      </c>
      <c r="K56" s="161" t="str">
        <f t="shared" si="60"/>
        <v>x</v>
      </c>
      <c r="L56" s="208" t="str">
        <f>IF(J56="","",SUMIF(K$5:K$51,K56,M$5:M$51)/1440)</f>
        <v/>
      </c>
      <c r="M56" s="209" t="str">
        <f>IF(J56="","",IF('MY STATS'!$A$15=3,SUMIF(K$5:K$51,J56,R$5:R$51)/1000,SUMIF(K$5:K$51,J56,R$5:R$51)))</f>
        <v/>
      </c>
      <c r="N56" s="334" t="str">
        <f>IF(J56="","",IF('MY STATS'!$A$15=3,SUMIF(J$5:J$51,J56,R$5:R$51)/1000,SUMIF(J$5:J$51,J56,R$5:R$51)))</f>
        <v/>
      </c>
      <c r="O56" s="353" t="s">
        <v>136</v>
      </c>
      <c r="P56" s="234"/>
      <c r="Q56" s="234"/>
      <c r="R56" s="234"/>
      <c r="S56" s="234"/>
      <c r="T56" s="234"/>
      <c r="U56" s="234"/>
      <c r="V56" s="234"/>
      <c r="W56" s="259"/>
      <c r="X56" s="259"/>
      <c r="Y56" s="259"/>
      <c r="Z56" s="348"/>
      <c r="AA56" s="274"/>
      <c r="AB56" s="226"/>
      <c r="AC56" s="97"/>
      <c r="AD56" s="100"/>
      <c r="AE56" s="100"/>
      <c r="AF56" s="100"/>
    </row>
    <row r="57" spans="1:54" ht="17" thickTop="1" thickBot="1">
      <c r="A57" s="49"/>
      <c r="B57" s="49"/>
      <c r="C57" s="49"/>
      <c r="D57" s="49"/>
      <c r="E57" s="49"/>
      <c r="F57" s="49"/>
      <c r="G57" s="49"/>
      <c r="H57" s="49"/>
      <c r="I57" s="140"/>
      <c r="J57" s="160" t="str">
        <f>'MY STATS'!AJ44</f>
        <v/>
      </c>
      <c r="K57" s="161" t="str">
        <f>IF(J57="","x",J57)</f>
        <v>x</v>
      </c>
      <c r="L57" s="208" t="str">
        <f>IF(J57="","",SUMIF(K$5:K$51,K57,M$5:M$51)/1440)</f>
        <v/>
      </c>
      <c r="M57" s="209" t="str">
        <f>IF(J57="","",IF('MY STATS'!$A$15=3,SUMIF(K$5:K$51,J57,R$5:R$51)/1000,SUMIF(K$5:K$51,J57,R$5:R$51)))</f>
        <v/>
      </c>
      <c r="N57" s="334" t="str">
        <f>IF(J57="","",IF('MY STATS'!$A$15=3,SUMIF(J$5:J$51,J57,R$5:R$51)/1000,SUMIF(J$5:J$51,J57,R$5:R$51)))</f>
        <v/>
      </c>
      <c r="O57" s="353" t="s">
        <v>126</v>
      </c>
      <c r="P57" s="339">
        <f t="shared" ref="P57:V57" si="63">SUMIF($E$5:$E$51,P52,$S$5:$S$51)</f>
        <v>0</v>
      </c>
      <c r="Q57" s="339">
        <f t="shared" si="63"/>
        <v>0</v>
      </c>
      <c r="R57" s="339">
        <f t="shared" si="63"/>
        <v>0</v>
      </c>
      <c r="S57" s="339">
        <f t="shared" si="63"/>
        <v>0</v>
      </c>
      <c r="T57" s="339">
        <f t="shared" si="63"/>
        <v>0</v>
      </c>
      <c r="U57" s="339">
        <f t="shared" si="63"/>
        <v>0</v>
      </c>
      <c r="V57" s="339">
        <f t="shared" si="63"/>
        <v>0</v>
      </c>
      <c r="W57" s="230"/>
      <c r="X57" s="230"/>
      <c r="Y57" s="230"/>
      <c r="Z57" s="234"/>
      <c r="AA57" s="230"/>
      <c r="AB57" s="226"/>
      <c r="AC57" s="97"/>
      <c r="AD57" s="100"/>
      <c r="AE57" s="100"/>
      <c r="AF57" s="100"/>
    </row>
    <row r="58" spans="1:54" ht="17" thickTop="1" thickBot="1">
      <c r="A58" s="77">
        <f>A1</f>
        <v>12</v>
      </c>
      <c r="B58" s="78"/>
      <c r="C58" s="79"/>
      <c r="D58" s="71"/>
      <c r="E58" s="72" t="s">
        <v>91</v>
      </c>
      <c r="F58" s="90">
        <f>G58*0.000568181818</f>
        <v>0</v>
      </c>
      <c r="G58" s="91">
        <f>H58*1.0936113</f>
        <v>0</v>
      </c>
      <c r="H58" s="92">
        <f>H$55+G$3</f>
        <v>0</v>
      </c>
      <c r="I58" s="140"/>
      <c r="J58" s="162" t="s">
        <v>112</v>
      </c>
      <c r="K58" s="163"/>
      <c r="L58" s="210">
        <f>L59-SUM(L53:L57)</f>
        <v>0</v>
      </c>
      <c r="M58" s="211">
        <f>(M59-SUM(M53:M57))</f>
        <v>0</v>
      </c>
      <c r="N58" s="335">
        <f>(N59-SUM(N53:N57))</f>
        <v>0</v>
      </c>
      <c r="O58" s="353" t="s">
        <v>127</v>
      </c>
      <c r="P58" s="354">
        <f>IF(COUNTIFS($E$5:$E$51,P52,$L$5:$L$51,"&gt;0")=0,0,(SUMIF($E$5:$E$51,P52,$L$5:$L$51)+IF(SUMIF($E$5:$E$51,P52,$R$5:$R$51)=0,-SUMIF($E$5:$E$51,P52,$L$5:$L$51)))/60)</f>
        <v>0</v>
      </c>
      <c r="Q58" s="354">
        <f t="shared" ref="Q58:V58" si="64">IF(COUNTIFS($E$5:$E$51,Q52,$L$5:$L$51,"&gt;0")=0,0,(SUMIF($E$5:$E$51,Q52,$L$5:$L$51)+IF(SUMIF($E$5:$E$51,Q52,$R$5:$R$51)=0,-SUMIF($E$5:$E$51,Q52,$L$5:$L$51)))/60)</f>
        <v>0</v>
      </c>
      <c r="R58" s="354">
        <f t="shared" si="64"/>
        <v>0</v>
      </c>
      <c r="S58" s="354">
        <f t="shared" si="64"/>
        <v>0</v>
      </c>
      <c r="T58" s="354">
        <f t="shared" si="64"/>
        <v>0</v>
      </c>
      <c r="U58" s="354">
        <f t="shared" si="64"/>
        <v>0</v>
      </c>
      <c r="V58" s="354">
        <f t="shared" si="64"/>
        <v>0</v>
      </c>
      <c r="W58" s="230"/>
      <c r="X58" s="230"/>
      <c r="Y58" s="230"/>
      <c r="Z58" s="234"/>
      <c r="AA58" s="230"/>
      <c r="AB58" s="226"/>
      <c r="AC58" s="97"/>
      <c r="AD58" s="100"/>
      <c r="AE58" s="100"/>
      <c r="AF58" s="100"/>
    </row>
    <row r="59" spans="1:54" ht="17" thickTop="1" thickBot="1">
      <c r="A59" s="80">
        <f>A1</f>
        <v>12</v>
      </c>
      <c r="B59" s="81"/>
      <c r="C59" s="82"/>
      <c r="D59" s="73"/>
      <c r="E59" s="74" t="s">
        <v>63</v>
      </c>
      <c r="F59" s="75">
        <f>G59*0.000568181818</f>
        <v>364.99933248800102</v>
      </c>
      <c r="G59" s="76">
        <f>H59*1.0936113</f>
        <v>642398.82538444933</v>
      </c>
      <c r="H59" s="134">
        <f>VLOOKUP($A$1,'MY STATS'!B$29:K$40,10)</f>
        <v>587410.55929510726</v>
      </c>
      <c r="I59" s="138"/>
      <c r="J59" s="164" t="s">
        <v>68</v>
      </c>
      <c r="K59" s="165" t="str">
        <f t="shared" si="60"/>
        <v>total</v>
      </c>
      <c r="L59" s="212">
        <f>(SUM(L5:L51)-L40)/1440</f>
        <v>0</v>
      </c>
      <c r="M59" s="213">
        <f>IF('MY STATS'!$A$15=3,SUM(R5:R51)/1000,SUM(R5:R51))</f>
        <v>0</v>
      </c>
      <c r="N59" s="336">
        <f>IF('MY STATS'!$A$15=3,SUM(R5:R51)/1000,SUM(R5:R51))</f>
        <v>0</v>
      </c>
      <c r="O59" s="353" t="s">
        <v>111</v>
      </c>
      <c r="P59" s="235">
        <f>IFERROR(IF('MY STATS'!$A15=1,P57/P58,IF('MY STATS'!$A15=2,P57/1760/P58,IF('MY STATS'!$A15=3,P57/1000/P58,0))),0)</f>
        <v>0</v>
      </c>
      <c r="Q59" s="235">
        <f>IFERROR(IF('MY STATS'!$A15=1,Q57/Q58,IF('MY STATS'!$A15=2,Q57/1760/Q58,IF('MY STATS'!$A15=3,Q57/1000/Q58,0))),0)</f>
        <v>0</v>
      </c>
      <c r="R59" s="235">
        <f>IFERROR(IF('MY STATS'!$A15=1,R57/R58,IF('MY STATS'!$A15=2,R57/1760/R58,IF('MY STATS'!$A15=3,R57/1000/R58,0))),0)</f>
        <v>0</v>
      </c>
      <c r="S59" s="235">
        <f>IFERROR(IF('MY STATS'!$A15=1,S57/S58,IF('MY STATS'!$A15=2,S57/1760/S58,IF('MY STATS'!$A15=3,S57/1000/S58,0))),0)</f>
        <v>0</v>
      </c>
      <c r="T59" s="235">
        <f>IFERROR(IF('MY STATS'!$A15=1,T57/T58,IF('MY STATS'!$A15=2,T57/1760/T58,IF('MY STATS'!$A15=3,T57/1000/T58,0))),0)</f>
        <v>0</v>
      </c>
      <c r="U59" s="235">
        <f>IFERROR(IF('MY STATS'!$A15=1,U57/U58,IF('MY STATS'!$A15=2,U57/1760/U58,IF('MY STATS'!$A15=3,U57/1000/U58,0))),0)</f>
        <v>0</v>
      </c>
      <c r="V59" s="235">
        <f>IFERROR(IF('MY STATS'!$A15=1,V57/V58,IF('MY STATS'!$A15=2,V57/1760/V58,IF('MY STATS'!$A15=3,V57/1000/V58,0))),0)</f>
        <v>0</v>
      </c>
      <c r="W59" s="230"/>
      <c r="X59" s="230"/>
      <c r="Y59" s="230"/>
      <c r="Z59" s="234"/>
      <c r="AA59" s="230"/>
      <c r="AB59" s="226"/>
      <c r="AC59" s="97"/>
      <c r="AD59" s="100"/>
      <c r="AE59" s="100"/>
      <c r="AF59" s="100"/>
    </row>
    <row r="60" spans="1:54" ht="16" thickTop="1"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100"/>
      <c r="AF60" s="100"/>
      <c r="AG60" s="100"/>
    </row>
    <row r="61" spans="1:54"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100"/>
      <c r="AF61" s="100"/>
      <c r="AG61" s="100"/>
    </row>
    <row r="62" spans="1:54" ht="6.75" customHeight="1"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100"/>
      <c r="AF62" s="100"/>
      <c r="AG62" s="100"/>
    </row>
    <row r="63" spans="1:54"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100"/>
      <c r="AF63" s="100"/>
      <c r="AG63" s="100"/>
    </row>
    <row r="64" spans="1:54"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100"/>
      <c r="AF64" s="100"/>
      <c r="AG64" s="100"/>
    </row>
    <row r="65" spans="15:33">
      <c r="O65" s="100"/>
      <c r="P65" s="100"/>
      <c r="Q65" s="100"/>
      <c r="R65" s="100"/>
      <c r="S65" s="97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</row>
    <row r="66" spans="15:33" s="3" customFormat="1">
      <c r="O66" s="100"/>
      <c r="P66" s="100"/>
      <c r="Q66" s="100"/>
      <c r="R66" s="100"/>
      <c r="S66" s="97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</row>
    <row r="67" spans="15:33">
      <c r="O67" s="100"/>
      <c r="P67" s="100"/>
      <c r="Q67" s="100"/>
      <c r="R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</row>
    <row r="68" spans="15:33">
      <c r="O68" s="100"/>
      <c r="P68" s="100"/>
      <c r="Q68" s="100"/>
      <c r="R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</row>
  </sheetData>
  <sheetProtection sheet="1" objects="1" scenarios="1" selectLockedCells="1"/>
  <mergeCells count="8">
    <mergeCell ref="J49:N49"/>
    <mergeCell ref="J52:L52"/>
    <mergeCell ref="J12:N12"/>
    <mergeCell ref="J13:N13"/>
    <mergeCell ref="J21:N22"/>
    <mergeCell ref="J30:N30"/>
    <mergeCell ref="J31:N31"/>
    <mergeCell ref="J48:N48"/>
  </mergeCells>
  <conditionalFormatting sqref="B14:B20 B23:B29 B49:B51 B40:B47 B53 B31:B38 D3 B5:B11">
    <cfRule type="cellIs" dxfId="1236" priority="1374" stopIfTrue="1" operator="notBetween">
      <formula>$B$2</formula>
      <formula>$B$3</formula>
    </cfRule>
  </conditionalFormatting>
  <conditionalFormatting sqref="B14:B20 B23:B29 B49:B51 B40:B47 B53 B31:B38 D3 B5:B11">
    <cfRule type="cellIs" dxfId="1235" priority="1375" operator="greaterThan">
      <formula>$E$3</formula>
    </cfRule>
    <cfRule type="cellIs" dxfId="1234" priority="1376" operator="equal">
      <formula>$E$3</formula>
    </cfRule>
    <cfRule type="cellIs" dxfId="1233" priority="1377" operator="lessThan">
      <formula>$E$3</formula>
    </cfRule>
  </conditionalFormatting>
  <conditionalFormatting sqref="F58:H58 F55:H55">
    <cfRule type="expression" dxfId="1232" priority="1372">
      <formula>$F55&gt;=$F56</formula>
    </cfRule>
  </conditionalFormatting>
  <conditionalFormatting sqref="F5:H10 F14:G20 F23:G29 F38:H38 F41:H47 F11:G11 F32:G37">
    <cfRule type="cellIs" dxfId="1231" priority="1362" stopIfTrue="1" operator="lessThan">
      <formula>0</formula>
    </cfRule>
  </conditionalFormatting>
  <conditionalFormatting sqref="C32:C38 C41:C47 C50:C51 C14:C20 C23:C29 C5:C11">
    <cfRule type="cellIs" dxfId="1230" priority="1367" stopIfTrue="1" operator="notBetween">
      <formula>$B$2</formula>
      <formula>$B$3</formula>
    </cfRule>
  </conditionalFormatting>
  <conditionalFormatting sqref="C41:C47 C50:C51 C32:C38 C14:C20 C23:C29 C5:C11">
    <cfRule type="cellIs" dxfId="1229" priority="1368" operator="greaterThan">
      <formula>$E$3</formula>
    </cfRule>
    <cfRule type="cellIs" dxfId="1228" priority="1369" operator="equal">
      <formula>$E$3</formula>
    </cfRule>
    <cfRule type="cellIs" dxfId="1227" priority="1370" operator="lessThan">
      <formula>$E$3</formula>
    </cfRule>
  </conditionalFormatting>
  <conditionalFormatting sqref="F14:G20 F23:G29 F38:H38 F41:H47 F32:G37">
    <cfRule type="expression" dxfId="1226" priority="1366">
      <formula>$C14&lt;$E$3</formula>
    </cfRule>
  </conditionalFormatting>
  <conditionalFormatting sqref="F5:H10 F14:G20 F23:G29 F38:H38 F41:H47 F11:G11 F32:G37">
    <cfRule type="expression" dxfId="1225" priority="1363">
      <formula>$C5=$E$3</formula>
    </cfRule>
    <cfRule type="expression" dxfId="1224" priority="1364">
      <formula>$C5&lt;$E$3</formula>
    </cfRule>
    <cfRule type="cellIs" dxfId="1223" priority="1365" operator="equal">
      <formula>0</formula>
    </cfRule>
    <cfRule type="expression" dxfId="1222" priority="1371">
      <formula>$C5&gt;$E$3</formula>
    </cfRule>
  </conditionalFormatting>
  <conditionalFormatting sqref="F12:G12">
    <cfRule type="expression" dxfId="1221" priority="1361">
      <formula>$F12&gt;=$F13</formula>
    </cfRule>
  </conditionalFormatting>
  <conditionalFormatting sqref="F21:G21">
    <cfRule type="expression" dxfId="1220" priority="1360">
      <formula>$F21&gt;=$F22</formula>
    </cfRule>
  </conditionalFormatting>
  <conditionalFormatting sqref="F39:H39">
    <cfRule type="expression" dxfId="1219" priority="1359">
      <formula>$F39&gt;=$F40</formula>
    </cfRule>
  </conditionalFormatting>
  <conditionalFormatting sqref="F30:G30">
    <cfRule type="expression" dxfId="1218" priority="1358">
      <formula>$F30&gt;=$F31</formula>
    </cfRule>
  </conditionalFormatting>
  <conditionalFormatting sqref="F48:H48">
    <cfRule type="expression" dxfId="1217" priority="1356" stopIfTrue="1">
      <formula>$H$48=-1E-55</formula>
    </cfRule>
    <cfRule type="expression" dxfId="1216" priority="1357">
      <formula>$F48&gt;=$F49</formula>
    </cfRule>
  </conditionalFormatting>
  <conditionalFormatting sqref="F14:G20 F23:G29 F38:H38 F41:H47 F32:G37">
    <cfRule type="expression" dxfId="1215" priority="1355">
      <formula>$C14&lt;$E$3</formula>
    </cfRule>
  </conditionalFormatting>
  <conditionalFormatting sqref="F14:G20 F5:H10 F23:G29 F38:H38 F41:H47 F11:G11 F32:G37">
    <cfRule type="expression" dxfId="1214" priority="1351">
      <formula>$C5=$E$3</formula>
    </cfRule>
    <cfRule type="expression" dxfId="1213" priority="1352">
      <formula>$C5&lt;$E$3</formula>
    </cfRule>
    <cfRule type="cellIs" dxfId="1212" priority="1353" operator="equal">
      <formula>0</formula>
    </cfRule>
    <cfRule type="expression" dxfId="1211" priority="1354">
      <formula>$C5&gt;$E$3</formula>
    </cfRule>
  </conditionalFormatting>
  <conditionalFormatting sqref="F12:G12">
    <cfRule type="expression" dxfId="1210" priority="1350">
      <formula>$F12&gt;=$F13</formula>
    </cfRule>
  </conditionalFormatting>
  <conditionalFormatting sqref="F21:G21">
    <cfRule type="expression" dxfId="1209" priority="1349">
      <formula>$F21&gt;=$F22</formula>
    </cfRule>
  </conditionalFormatting>
  <conditionalFormatting sqref="F39:H39">
    <cfRule type="expression" dxfId="1208" priority="1348">
      <formula>$F39&gt;=$F40</formula>
    </cfRule>
  </conditionalFormatting>
  <conditionalFormatting sqref="F30:G30">
    <cfRule type="expression" dxfId="1207" priority="1347">
      <formula>$F30&gt;=$F31</formula>
    </cfRule>
  </conditionalFormatting>
  <conditionalFormatting sqref="F48:H48">
    <cfRule type="expression" dxfId="1206" priority="1345" stopIfTrue="1">
      <formula>$E$41=""</formula>
    </cfRule>
    <cfRule type="expression" dxfId="1205" priority="1346">
      <formula>$F48&gt;=$F49</formula>
    </cfRule>
  </conditionalFormatting>
  <conditionalFormatting sqref="F41:H47">
    <cfRule type="expression" dxfId="1204" priority="1344">
      <formula>$E41=""</formula>
    </cfRule>
  </conditionalFormatting>
  <conditionalFormatting sqref="F47:H47">
    <cfRule type="expression" dxfId="1203" priority="1343">
      <formula>$E$46=""</formula>
    </cfRule>
  </conditionalFormatting>
  <conditionalFormatting sqref="F45:H45">
    <cfRule type="expression" dxfId="1202" priority="1342">
      <formula>$E45=""</formula>
    </cfRule>
  </conditionalFormatting>
  <conditionalFormatting sqref="F5:H10 F11:G11">
    <cfRule type="expression" dxfId="1201" priority="1341">
      <formula>$C5&lt;$E$3</formula>
    </cfRule>
  </conditionalFormatting>
  <conditionalFormatting sqref="F5:H10 F11:G11">
    <cfRule type="expression" dxfId="1200" priority="1340">
      <formula>$E5=""</formula>
    </cfRule>
  </conditionalFormatting>
  <conditionalFormatting sqref="F5:H10 F11:G11">
    <cfRule type="expression" dxfId="1199" priority="1336">
      <formula>$C5=$E$3</formula>
    </cfRule>
    <cfRule type="expression" dxfId="1198" priority="1337">
      <formula>$C5&lt;$E$3</formula>
    </cfRule>
    <cfRule type="cellIs" dxfId="1197" priority="1338" operator="equal">
      <formula>0</formula>
    </cfRule>
    <cfRule type="expression" dxfId="1196" priority="1339">
      <formula>$C5&gt;$E$3</formula>
    </cfRule>
  </conditionalFormatting>
  <conditionalFormatting sqref="F5:H10 F11:G11">
    <cfRule type="expression" dxfId="1195" priority="1335">
      <formula>$C5&lt;$E$3</formula>
    </cfRule>
  </conditionalFormatting>
  <conditionalFormatting sqref="F5:H10 F11:G11">
    <cfRule type="expression" dxfId="1194" priority="1334">
      <formula>$E5=""</formula>
    </cfRule>
  </conditionalFormatting>
  <conditionalFormatting sqref="F14:G20">
    <cfRule type="expression" dxfId="1193" priority="1333">
      <formula>$C14&lt;$E$3</formula>
    </cfRule>
  </conditionalFormatting>
  <conditionalFormatting sqref="F14:G20">
    <cfRule type="expression" dxfId="1192" priority="1329">
      <formula>$C14=$E$3</formula>
    </cfRule>
    <cfRule type="expression" dxfId="1191" priority="1330">
      <formula>$C14&lt;$E$3</formula>
    </cfRule>
    <cfRule type="cellIs" dxfId="1190" priority="1331" operator="equal">
      <formula>0</formula>
    </cfRule>
    <cfRule type="expression" dxfId="1189" priority="1332">
      <formula>$C14&gt;$E$3</formula>
    </cfRule>
  </conditionalFormatting>
  <conditionalFormatting sqref="F5:H10 F11:G11">
    <cfRule type="expression" dxfId="1188" priority="1328">
      <formula>$C5&lt;$E$3</formula>
    </cfRule>
  </conditionalFormatting>
  <conditionalFormatting sqref="F5:H10 F11:G11">
    <cfRule type="expression" dxfId="1187" priority="1324">
      <formula>$C5=$E$3</formula>
    </cfRule>
    <cfRule type="expression" dxfId="1186" priority="1325">
      <formula>$C5&lt;$E$3</formula>
    </cfRule>
    <cfRule type="cellIs" dxfId="1185" priority="1326" operator="equal">
      <formula>0</formula>
    </cfRule>
    <cfRule type="expression" dxfId="1184" priority="1327">
      <formula>$C5&gt;$E$3</formula>
    </cfRule>
  </conditionalFormatting>
  <conditionalFormatting sqref="F5:H10 F11:G11">
    <cfRule type="expression" dxfId="1183" priority="1323">
      <formula>$E5=""</formula>
    </cfRule>
  </conditionalFormatting>
  <conditionalFormatting sqref="F5:H10 F11:G11">
    <cfRule type="expression" dxfId="1182" priority="1322">
      <formula>$C5&lt;$E$3</formula>
    </cfRule>
  </conditionalFormatting>
  <conditionalFormatting sqref="F5:H10 F11:G11">
    <cfRule type="expression" dxfId="1181" priority="1321">
      <formula>$E5=""</formula>
    </cfRule>
  </conditionalFormatting>
  <conditionalFormatting sqref="F5:H10 F11:G11">
    <cfRule type="expression" dxfId="1180" priority="1320">
      <formula>$E5=""</formula>
    </cfRule>
  </conditionalFormatting>
  <conditionalFormatting sqref="F5:H10 F11:G11">
    <cfRule type="expression" dxfId="1179" priority="1319">
      <formula>$C5&lt;$E$3</formula>
    </cfRule>
  </conditionalFormatting>
  <conditionalFormatting sqref="F5:H10 F11:G11">
    <cfRule type="expression" dxfId="1178" priority="1318">
      <formula>$E5=""</formula>
    </cfRule>
  </conditionalFormatting>
  <conditionalFormatting sqref="F5:H10 F11:G11">
    <cfRule type="expression" dxfId="1177" priority="1317">
      <formula>$C5&lt;$E$3</formula>
    </cfRule>
  </conditionalFormatting>
  <conditionalFormatting sqref="F5:H10 F11:G11">
    <cfRule type="expression" dxfId="1176" priority="1316">
      <formula>$E5=""</formula>
    </cfRule>
  </conditionalFormatting>
  <conditionalFormatting sqref="F5:H10 F11:G11">
    <cfRule type="expression" dxfId="1175" priority="1315">
      <formula>$C5&lt;$E$3</formula>
    </cfRule>
  </conditionalFormatting>
  <conditionalFormatting sqref="F5:H10 F11:G11">
    <cfRule type="expression" dxfId="1174" priority="1314">
      <formula>$E5=""</formula>
    </cfRule>
  </conditionalFormatting>
  <conditionalFormatting sqref="F14:G20">
    <cfRule type="expression" dxfId="1173" priority="1313">
      <formula>$C14&lt;$E$3</formula>
    </cfRule>
  </conditionalFormatting>
  <conditionalFormatting sqref="F14:G20">
    <cfRule type="expression" dxfId="1172" priority="1309">
      <formula>$C14=$E$3</formula>
    </cfRule>
    <cfRule type="expression" dxfId="1171" priority="1310">
      <formula>$C14&lt;$E$3</formula>
    </cfRule>
    <cfRule type="cellIs" dxfId="1170" priority="1311" operator="equal">
      <formula>0</formula>
    </cfRule>
    <cfRule type="expression" dxfId="1169" priority="1312">
      <formula>$C14&gt;$E$3</formula>
    </cfRule>
  </conditionalFormatting>
  <conditionalFormatting sqref="F14:G20">
    <cfRule type="expression" dxfId="1168" priority="1308">
      <formula>$E14=""</formula>
    </cfRule>
  </conditionalFormatting>
  <conditionalFormatting sqref="F14:G20">
    <cfRule type="expression" dxfId="1167" priority="1307">
      <formula>$C14&lt;$E$3</formula>
    </cfRule>
  </conditionalFormatting>
  <conditionalFormatting sqref="F14:G20">
    <cfRule type="expression" dxfId="1166" priority="1306">
      <formula>$E14=""</formula>
    </cfRule>
  </conditionalFormatting>
  <conditionalFormatting sqref="F14:G20">
    <cfRule type="expression" dxfId="1165" priority="1305">
      <formula>$E14=""</formula>
    </cfRule>
  </conditionalFormatting>
  <conditionalFormatting sqref="F14:G20">
    <cfRule type="expression" dxfId="1164" priority="1304">
      <formula>$C14&lt;$E$3</formula>
    </cfRule>
  </conditionalFormatting>
  <conditionalFormatting sqref="F14:G20">
    <cfRule type="expression" dxfId="1163" priority="1303">
      <formula>$E14=""</formula>
    </cfRule>
  </conditionalFormatting>
  <conditionalFormatting sqref="F14:G20">
    <cfRule type="expression" dxfId="1162" priority="1302">
      <formula>$C14&lt;$E$3</formula>
    </cfRule>
  </conditionalFormatting>
  <conditionalFormatting sqref="F14:G20">
    <cfRule type="expression" dxfId="1161" priority="1301">
      <formula>$E14=""</formula>
    </cfRule>
  </conditionalFormatting>
  <conditionalFormatting sqref="F14:G20">
    <cfRule type="expression" dxfId="1160" priority="1300">
      <formula>$C14&lt;$E$3</formula>
    </cfRule>
  </conditionalFormatting>
  <conditionalFormatting sqref="F14:G20">
    <cfRule type="expression" dxfId="1159" priority="1299">
      <formula>$E14=""</formula>
    </cfRule>
  </conditionalFormatting>
  <conditionalFormatting sqref="F23:G29">
    <cfRule type="expression" dxfId="1158" priority="1298">
      <formula>$C23&lt;$E$3</formula>
    </cfRule>
  </conditionalFormatting>
  <conditionalFormatting sqref="F23:G29">
    <cfRule type="expression" dxfId="1157" priority="1294">
      <formula>$C23=$E$3</formula>
    </cfRule>
    <cfRule type="expression" dxfId="1156" priority="1295">
      <formula>$C23&lt;$E$3</formula>
    </cfRule>
    <cfRule type="cellIs" dxfId="1155" priority="1296" operator="equal">
      <formula>0</formula>
    </cfRule>
    <cfRule type="expression" dxfId="1154" priority="1297">
      <formula>$C23&gt;$E$3</formula>
    </cfRule>
  </conditionalFormatting>
  <conditionalFormatting sqref="F23:G29">
    <cfRule type="expression" dxfId="1153" priority="1293">
      <formula>$C23&lt;$E$3</formula>
    </cfRule>
  </conditionalFormatting>
  <conditionalFormatting sqref="F23:G29">
    <cfRule type="expression" dxfId="1152" priority="1289">
      <formula>$C23=$E$3</formula>
    </cfRule>
    <cfRule type="expression" dxfId="1151" priority="1290">
      <formula>$C23&lt;$E$3</formula>
    </cfRule>
    <cfRule type="cellIs" dxfId="1150" priority="1291" operator="equal">
      <formula>0</formula>
    </cfRule>
    <cfRule type="expression" dxfId="1149" priority="1292">
      <formula>$C23&gt;$E$3</formula>
    </cfRule>
  </conditionalFormatting>
  <conditionalFormatting sqref="F23:G29">
    <cfRule type="expression" dxfId="1148" priority="1288">
      <formula>$E23=""</formula>
    </cfRule>
  </conditionalFormatting>
  <conditionalFormatting sqref="F23:G29">
    <cfRule type="expression" dxfId="1147" priority="1287">
      <formula>$C23&lt;$E$3</formula>
    </cfRule>
  </conditionalFormatting>
  <conditionalFormatting sqref="F23:G29">
    <cfRule type="expression" dxfId="1146" priority="1286">
      <formula>$E23=""</formula>
    </cfRule>
  </conditionalFormatting>
  <conditionalFormatting sqref="F23:G29">
    <cfRule type="expression" dxfId="1145" priority="1285">
      <formula>$E23=""</formula>
    </cfRule>
  </conditionalFormatting>
  <conditionalFormatting sqref="F23:G29">
    <cfRule type="expression" dxfId="1144" priority="1284">
      <formula>$C23&lt;$E$3</formula>
    </cfRule>
  </conditionalFormatting>
  <conditionalFormatting sqref="F23:G29">
    <cfRule type="expression" dxfId="1143" priority="1283">
      <formula>$E23=""</formula>
    </cfRule>
  </conditionalFormatting>
  <conditionalFormatting sqref="F23:G29">
    <cfRule type="expression" dxfId="1142" priority="1282">
      <formula>$C23&lt;$E$3</formula>
    </cfRule>
  </conditionalFormatting>
  <conditionalFormatting sqref="F23:G29">
    <cfRule type="expression" dxfId="1141" priority="1281">
      <formula>$E23=""</formula>
    </cfRule>
  </conditionalFormatting>
  <conditionalFormatting sqref="F23:G29">
    <cfRule type="expression" dxfId="1140" priority="1280">
      <formula>$C23&lt;$E$3</formula>
    </cfRule>
  </conditionalFormatting>
  <conditionalFormatting sqref="F23:G29">
    <cfRule type="expression" dxfId="1139" priority="1279">
      <formula>$E23=""</formula>
    </cfRule>
  </conditionalFormatting>
  <conditionalFormatting sqref="F38:H38 F32:G37">
    <cfRule type="expression" dxfId="1138" priority="1278">
      <formula>$C32&lt;$E$3</formula>
    </cfRule>
  </conditionalFormatting>
  <conditionalFormatting sqref="F38:H38 F32:G37">
    <cfRule type="expression" dxfId="1137" priority="1274">
      <formula>$C32=$E$3</formula>
    </cfRule>
    <cfRule type="expression" dxfId="1136" priority="1275">
      <formula>$C32&lt;$E$3</formula>
    </cfRule>
    <cfRule type="cellIs" dxfId="1135" priority="1276" operator="equal">
      <formula>0</formula>
    </cfRule>
    <cfRule type="expression" dxfId="1134" priority="1277">
      <formula>$C32&gt;$E$3</formula>
    </cfRule>
  </conditionalFormatting>
  <conditionalFormatting sqref="F38:H38 F32:G37">
    <cfRule type="expression" dxfId="1133" priority="1273">
      <formula>$C32&lt;$E$3</formula>
    </cfRule>
  </conditionalFormatting>
  <conditionalFormatting sqref="F38:H38 F32:G37">
    <cfRule type="expression" dxfId="1132" priority="1269">
      <formula>$C32=$E$3</formula>
    </cfRule>
    <cfRule type="expression" dxfId="1131" priority="1270">
      <formula>$C32&lt;$E$3</formula>
    </cfRule>
    <cfRule type="cellIs" dxfId="1130" priority="1271" operator="equal">
      <formula>0</formula>
    </cfRule>
    <cfRule type="expression" dxfId="1129" priority="1272">
      <formula>$C32&gt;$E$3</formula>
    </cfRule>
  </conditionalFormatting>
  <conditionalFormatting sqref="F38:H38 F32:G37">
    <cfRule type="expression" dxfId="1128" priority="1268">
      <formula>$E32=""</formula>
    </cfRule>
  </conditionalFormatting>
  <conditionalFormatting sqref="F38:H38 F32:G37">
    <cfRule type="expression" dxfId="1127" priority="1267">
      <formula>$C32&lt;$E$3</formula>
    </cfRule>
  </conditionalFormatting>
  <conditionalFormatting sqref="F38:H38 F32:G37">
    <cfRule type="expression" dxfId="1126" priority="1266">
      <formula>$E32=""</formula>
    </cfRule>
  </conditionalFormatting>
  <conditionalFormatting sqref="F38:H38 F32:G37">
    <cfRule type="expression" dxfId="1125" priority="1265">
      <formula>$E32=""</formula>
    </cfRule>
  </conditionalFormatting>
  <conditionalFormatting sqref="F38:H38 F32:G37">
    <cfRule type="expression" dxfId="1124" priority="1264">
      <formula>$C32&lt;$E$3</formula>
    </cfRule>
  </conditionalFormatting>
  <conditionalFormatting sqref="F38:H38 F32:G37">
    <cfRule type="expression" dxfId="1123" priority="1263">
      <formula>$E32=""</formula>
    </cfRule>
  </conditionalFormatting>
  <conditionalFormatting sqref="F38:H38 F32:G37">
    <cfRule type="expression" dxfId="1122" priority="1262">
      <formula>$C32&lt;$E$3</formula>
    </cfRule>
  </conditionalFormatting>
  <conditionalFormatting sqref="F38:H38 F32:G37">
    <cfRule type="expression" dxfId="1121" priority="1261">
      <formula>$E32=""</formula>
    </cfRule>
  </conditionalFormatting>
  <conditionalFormatting sqref="F38:H38 F32:G37">
    <cfRule type="expression" dxfId="1120" priority="1260">
      <formula>$C32&lt;$E$3</formula>
    </cfRule>
  </conditionalFormatting>
  <conditionalFormatting sqref="F38:H38 F32:G37">
    <cfRule type="expression" dxfId="1119" priority="1259">
      <formula>$E32=""</formula>
    </cfRule>
  </conditionalFormatting>
  <conditionalFormatting sqref="F41:H47">
    <cfRule type="expression" dxfId="1118" priority="1258">
      <formula>$C41&lt;$E$3</formula>
    </cfRule>
  </conditionalFormatting>
  <conditionalFormatting sqref="F41:H47">
    <cfRule type="expression" dxfId="1117" priority="1254">
      <formula>$C41=$E$3</formula>
    </cfRule>
    <cfRule type="expression" dxfId="1116" priority="1255">
      <formula>$C41&lt;$E$3</formula>
    </cfRule>
    <cfRule type="cellIs" dxfId="1115" priority="1256" operator="equal">
      <formula>0</formula>
    </cfRule>
    <cfRule type="expression" dxfId="1114" priority="1257">
      <formula>$C41&gt;$E$3</formula>
    </cfRule>
  </conditionalFormatting>
  <conditionalFormatting sqref="F41:H47">
    <cfRule type="expression" dxfId="1113" priority="1253">
      <formula>$C41&lt;$E$3</formula>
    </cfRule>
  </conditionalFormatting>
  <conditionalFormatting sqref="F41:H47">
    <cfRule type="expression" dxfId="1112" priority="1249">
      <formula>$C41=$E$3</formula>
    </cfRule>
    <cfRule type="expression" dxfId="1111" priority="1250">
      <formula>$C41&lt;$E$3</formula>
    </cfRule>
    <cfRule type="cellIs" dxfId="1110" priority="1251" operator="equal">
      <formula>0</formula>
    </cfRule>
    <cfRule type="expression" dxfId="1109" priority="1252">
      <formula>$C41&gt;$E$3</formula>
    </cfRule>
  </conditionalFormatting>
  <conditionalFormatting sqref="F41:H47">
    <cfRule type="expression" dxfId="1108" priority="1248">
      <formula>$E41=""</formula>
    </cfRule>
  </conditionalFormatting>
  <conditionalFormatting sqref="F41:H47">
    <cfRule type="expression" dxfId="1107" priority="1247">
      <formula>$C41&lt;$E$3</formula>
    </cfRule>
  </conditionalFormatting>
  <conditionalFormatting sqref="F41:H47">
    <cfRule type="expression" dxfId="1106" priority="1246">
      <formula>$E41=""</formula>
    </cfRule>
  </conditionalFormatting>
  <conditionalFormatting sqref="F41:H47">
    <cfRule type="expression" dxfId="1105" priority="1245">
      <formula>$E41=""</formula>
    </cfRule>
  </conditionalFormatting>
  <conditionalFormatting sqref="F41:H47">
    <cfRule type="expression" dxfId="1104" priority="1244">
      <formula>$C41&lt;$E$3</formula>
    </cfRule>
  </conditionalFormatting>
  <conditionalFormatting sqref="F41:H47">
    <cfRule type="expression" dxfId="1103" priority="1243">
      <formula>$E41=""</formula>
    </cfRule>
  </conditionalFormatting>
  <conditionalFormatting sqref="F41:H47">
    <cfRule type="expression" dxfId="1102" priority="1242">
      <formula>$C41&lt;$E$3</formula>
    </cfRule>
  </conditionalFormatting>
  <conditionalFormatting sqref="F41:H47">
    <cfRule type="expression" dxfId="1101" priority="1241">
      <formula>$E41=""</formula>
    </cfRule>
  </conditionalFormatting>
  <conditionalFormatting sqref="F41:H47">
    <cfRule type="expression" dxfId="1100" priority="1240">
      <formula>$C41&lt;$E$3</formula>
    </cfRule>
  </conditionalFormatting>
  <conditionalFormatting sqref="F41:H47">
    <cfRule type="expression" dxfId="1099" priority="1239">
      <formula>$E41=""</formula>
    </cfRule>
  </conditionalFormatting>
  <conditionalFormatting sqref="F50:H51">
    <cfRule type="cellIs" dxfId="1098" priority="1238" stopIfTrue="1" operator="lessThan">
      <formula>0</formula>
    </cfRule>
  </conditionalFormatting>
  <conditionalFormatting sqref="F50:H51">
    <cfRule type="expression" dxfId="1097" priority="1237">
      <formula>$C50&lt;$E$3</formula>
    </cfRule>
  </conditionalFormatting>
  <conditionalFormatting sqref="F50:H51">
    <cfRule type="expression" dxfId="1096" priority="1233">
      <formula>$C50=$E$3</formula>
    </cfRule>
    <cfRule type="expression" dxfId="1095" priority="1234">
      <formula>$C50&lt;$E$3</formula>
    </cfRule>
    <cfRule type="cellIs" dxfId="1094" priority="1235" operator="equal">
      <formula>0</formula>
    </cfRule>
    <cfRule type="expression" dxfId="1093" priority="1236">
      <formula>$C50&gt;$E$3</formula>
    </cfRule>
  </conditionalFormatting>
  <conditionalFormatting sqref="F50:H51">
    <cfRule type="expression" dxfId="1092" priority="1232">
      <formula>$C50&lt;$E$3</formula>
    </cfRule>
  </conditionalFormatting>
  <conditionalFormatting sqref="F50:H51">
    <cfRule type="expression" dxfId="1091" priority="1228">
      <formula>$C50=$E$3</formula>
    </cfRule>
    <cfRule type="expression" dxfId="1090" priority="1229">
      <formula>$C50&lt;$E$3</formula>
    </cfRule>
    <cfRule type="cellIs" dxfId="1089" priority="1230" operator="equal">
      <formula>0</formula>
    </cfRule>
    <cfRule type="expression" dxfId="1088" priority="1231">
      <formula>$C50&gt;$E$3</formula>
    </cfRule>
  </conditionalFormatting>
  <conditionalFormatting sqref="F50:H51">
    <cfRule type="expression" dxfId="1087" priority="1227">
      <formula>$C50&lt;$E$3</formula>
    </cfRule>
  </conditionalFormatting>
  <conditionalFormatting sqref="F50:H51">
    <cfRule type="expression" dxfId="1086" priority="1223">
      <formula>$C50=$E$3</formula>
    </cfRule>
    <cfRule type="expression" dxfId="1085" priority="1224">
      <formula>$C50&lt;$E$3</formula>
    </cfRule>
    <cfRule type="cellIs" dxfId="1084" priority="1225" operator="equal">
      <formula>0</formula>
    </cfRule>
    <cfRule type="expression" dxfId="1083" priority="1226">
      <formula>$C50&gt;$E$3</formula>
    </cfRule>
  </conditionalFormatting>
  <conditionalFormatting sqref="F50:H51">
    <cfRule type="expression" dxfId="1082" priority="1222">
      <formula>$C50&lt;$E$3</formula>
    </cfRule>
  </conditionalFormatting>
  <conditionalFormatting sqref="F50:H51">
    <cfRule type="expression" dxfId="1081" priority="1218">
      <formula>$C50=$E$3</formula>
    </cfRule>
    <cfRule type="expression" dxfId="1080" priority="1219">
      <formula>$C50&lt;$E$3</formula>
    </cfRule>
    <cfRule type="cellIs" dxfId="1079" priority="1220" operator="equal">
      <formula>0</formula>
    </cfRule>
    <cfRule type="expression" dxfId="1078" priority="1221">
      <formula>$C50&gt;$E$3</formula>
    </cfRule>
  </conditionalFormatting>
  <conditionalFormatting sqref="F50:H51">
    <cfRule type="expression" dxfId="1077" priority="1217">
      <formula>$E50=""</formula>
    </cfRule>
  </conditionalFormatting>
  <conditionalFormatting sqref="F50:H51">
    <cfRule type="expression" dxfId="1076" priority="1216">
      <formula>$C50&lt;$E$3</formula>
    </cfRule>
  </conditionalFormatting>
  <conditionalFormatting sqref="F50:H51">
    <cfRule type="expression" dxfId="1075" priority="1215">
      <formula>$E50=""</formula>
    </cfRule>
  </conditionalFormatting>
  <conditionalFormatting sqref="F50:H51">
    <cfRule type="expression" dxfId="1074" priority="1214">
      <formula>$E50=""</formula>
    </cfRule>
  </conditionalFormatting>
  <conditionalFormatting sqref="F50:H51">
    <cfRule type="expression" dxfId="1073" priority="1213">
      <formula>$C50&lt;$E$3</formula>
    </cfRule>
  </conditionalFormatting>
  <conditionalFormatting sqref="F50:H51">
    <cfRule type="expression" dxfId="1072" priority="1212">
      <formula>$E50=""</formula>
    </cfRule>
  </conditionalFormatting>
  <conditionalFormatting sqref="F50:H51">
    <cfRule type="expression" dxfId="1071" priority="1211">
      <formula>$C50&lt;$E$3</formula>
    </cfRule>
  </conditionalFormatting>
  <conditionalFormatting sqref="F50:H51">
    <cfRule type="expression" dxfId="1070" priority="1210">
      <formula>$E50=""</formula>
    </cfRule>
  </conditionalFormatting>
  <conditionalFormatting sqref="F50:H51">
    <cfRule type="expression" dxfId="1069" priority="1209">
      <formula>$C50&lt;$E$3</formula>
    </cfRule>
  </conditionalFormatting>
  <conditionalFormatting sqref="F50:H51">
    <cfRule type="expression" dxfId="1068" priority="1208">
      <formula>$E50=""</formula>
    </cfRule>
  </conditionalFormatting>
  <conditionalFormatting sqref="E14:E20 E5:E11 E41:E47 E32:E38 E23:E29 E50:E51">
    <cfRule type="containsText" dxfId="1067" priority="1201" operator="containsText" text="Sa">
      <formula>NOT(ISERROR(SEARCH("Sa",E5)))</formula>
    </cfRule>
    <cfRule type="containsText" dxfId="1066" priority="1203" operator="containsText" text="Fr">
      <formula>NOT(ISERROR(SEARCH("Fr",E5)))</formula>
    </cfRule>
    <cfRule type="containsText" dxfId="1065" priority="1204" operator="containsText" text="Th">
      <formula>NOT(ISERROR(SEARCH("Th",E5)))</formula>
    </cfRule>
  </conditionalFormatting>
  <conditionalFormatting sqref="E14:E20 E5:E11 E41:E47 E32:E38 E23:E29 E50:E51">
    <cfRule type="containsText" dxfId="1064" priority="1205" operator="containsText" text="Wed">
      <formula>NOT(ISERROR(SEARCH("Wed",E5)))</formula>
    </cfRule>
    <cfRule type="containsText" dxfId="1063" priority="1206" operator="containsText" text="Tu">
      <formula>NOT(ISERROR(SEARCH("Tu",E5)))</formula>
    </cfRule>
    <cfRule type="beginsWith" dxfId="1062" priority="1207" operator="beginsWith" text="M">
      <formula>LEFT(E5,1)="M"</formula>
    </cfRule>
  </conditionalFormatting>
  <conditionalFormatting sqref="E14:E20 E5:E11 E41:E47 E32:E38 E23:E29 E50:E51">
    <cfRule type="containsText" dxfId="1061" priority="1202" operator="containsText" text="Su">
      <formula>NOT(ISERROR(SEARCH("Su",E5)))</formula>
    </cfRule>
  </conditionalFormatting>
  <conditionalFormatting sqref="C4">
    <cfRule type="cellIs" dxfId="1060" priority="1197" stopIfTrue="1" operator="notBetween">
      <formula>$B$2</formula>
      <formula>$B$3</formula>
    </cfRule>
  </conditionalFormatting>
  <conditionalFormatting sqref="C4">
    <cfRule type="cellIs" dxfId="1059" priority="1198" operator="greaterThan">
      <formula>$E$3</formula>
    </cfRule>
    <cfRule type="cellIs" dxfId="1058" priority="1199" operator="equal">
      <formula>$E$3</formula>
    </cfRule>
    <cfRule type="cellIs" dxfId="1057" priority="1200" operator="lessThan">
      <formula>$E$3</formula>
    </cfRule>
  </conditionalFormatting>
  <conditionalFormatting sqref="J23:J29 J14:J20 J5:J11 J50:J51 L5:N11 L14:M20 L23:M29 J41:J47 L50:N51 J32:J38 L32:M38 N15:N16 N18 L41:N47">
    <cfRule type="cellIs" dxfId="1056" priority="1196" stopIfTrue="1" operator="lessThan">
      <formula>0</formula>
    </cfRule>
  </conditionalFormatting>
  <conditionalFormatting sqref="J5:J11 J50:J51 L5:M11 L50:M51 J14:J20 J23:J29 J41:J47 J32:J38 L14:M20 L23:M29 L32:M38 L41:M47">
    <cfRule type="expression" dxfId="1055" priority="1194">
      <formula>$C5&lt;$E$3</formula>
    </cfRule>
  </conditionalFormatting>
  <conditionalFormatting sqref="J5:J11 J50:J51 L5:M11 L50:M51 J14:J20 J23:J29 J41:J47 J32:J38 L14:M20 L23:M29 L32:M38 L41:M47">
    <cfRule type="expression" dxfId="1054" priority="1191">
      <formula>$C5=$E$3</formula>
    </cfRule>
    <cfRule type="expression" dxfId="1053" priority="1192">
      <formula>$C5&lt;$E$3</formula>
    </cfRule>
    <cfRule type="cellIs" dxfId="1052" priority="1193" operator="equal">
      <formula>0</formula>
    </cfRule>
    <cfRule type="expression" dxfId="1051" priority="1195">
      <formula>$C5&gt;$E$3</formula>
    </cfRule>
  </conditionalFormatting>
  <conditionalFormatting sqref="J5:J11 J50:J51 L5:M11 L50:M51 J14:J20 J23:J29 J41:J47 J32:J38 L14:M20 L23:M29 L32:M38 L41:M47">
    <cfRule type="expression" dxfId="1050" priority="1190">
      <formula>$E5=""</formula>
    </cfRule>
  </conditionalFormatting>
  <conditionalFormatting sqref="J5:J11 J50:J51 L5:M11 L50:M51 J23:J29 J41:J47 J32:J38 J14:J20 L14:M20 L23:M29 L32:M38 L41:M47">
    <cfRule type="expression" dxfId="1049" priority="1189">
      <formula>$E5=""</formula>
    </cfRule>
  </conditionalFormatting>
  <conditionalFormatting sqref="J5:J11 J50:J51 L5:M11 L50:M51 J23:J29 J41:J47 J32:J38 J14:J20 L14:M20 L23:M29 L32:M38 L41:M47">
    <cfRule type="expression" dxfId="1048" priority="1188">
      <formula>$E5=""</formula>
    </cfRule>
  </conditionalFormatting>
  <conditionalFormatting sqref="M5:M11 M14:M20 M23:M29 M32:M38 M41:M47 M50:M51">
    <cfRule type="expression" dxfId="1047" priority="1187">
      <formula>$C5&lt;$E$3</formula>
    </cfRule>
  </conditionalFormatting>
  <conditionalFormatting sqref="M5:M11 M14:M20 M23:M29 M32:M38 M41:M47 M50:M51">
    <cfRule type="expression" dxfId="1046" priority="1183">
      <formula>$C5=$E$3</formula>
    </cfRule>
    <cfRule type="expression" dxfId="1045" priority="1184">
      <formula>$C5&lt;$E$3</formula>
    </cfRule>
    <cfRule type="cellIs" dxfId="1044" priority="1185" operator="equal">
      <formula>0</formula>
    </cfRule>
    <cfRule type="expression" dxfId="1043" priority="1186">
      <formula>$C5&gt;$E$3</formula>
    </cfRule>
  </conditionalFormatting>
  <conditionalFormatting sqref="M5:M11 M14:M20 M23:M29 M32:M38 M41:M47 M50:M51">
    <cfRule type="expression" dxfId="1042" priority="1182">
      <formula>$C5&lt;$E$3</formula>
    </cfRule>
  </conditionalFormatting>
  <conditionalFormatting sqref="M5:M11 M14:M20 M23:M29 M32:M38 M41:M47 M50:M51">
    <cfRule type="expression" dxfId="1041" priority="1178">
      <formula>$C5=$E$3</formula>
    </cfRule>
    <cfRule type="expression" dxfId="1040" priority="1179">
      <formula>$C5&lt;$E$3</formula>
    </cfRule>
    <cfRule type="cellIs" dxfId="1039" priority="1180" operator="equal">
      <formula>0</formula>
    </cfRule>
    <cfRule type="expression" dxfId="1038" priority="1181">
      <formula>$C5&gt;$E$3</formula>
    </cfRule>
  </conditionalFormatting>
  <conditionalFormatting sqref="M5:M11 M14:M20 M23:M29 M32:M38 M41:M47 M50:M51">
    <cfRule type="expression" dxfId="1037" priority="1177">
      <formula>$C5&lt;$E$3</formula>
    </cfRule>
  </conditionalFormatting>
  <conditionalFormatting sqref="M5:M11 M14:M20 M23:M29 M32:M38 M41:M47 M50:M51">
    <cfRule type="expression" dxfId="1036" priority="1173">
      <formula>$C5=$E$3</formula>
    </cfRule>
    <cfRule type="expression" dxfId="1035" priority="1174">
      <formula>$C5&lt;$E$3</formula>
    </cfRule>
    <cfRule type="cellIs" dxfId="1034" priority="1175" operator="equal">
      <formula>0</formula>
    </cfRule>
    <cfRule type="expression" dxfId="1033" priority="1176">
      <formula>$C5&gt;$E$3</formula>
    </cfRule>
  </conditionalFormatting>
  <conditionalFormatting sqref="M5:M11 M14:M20 M23:M29 M32:M38 M41:M47 M50:M51">
    <cfRule type="expression" dxfId="1032" priority="1172">
      <formula>$C5&lt;$E$3</formula>
    </cfRule>
  </conditionalFormatting>
  <conditionalFormatting sqref="M5:M11 M14:M20 M23:M29 M32:M38 M41:M47 M50:M51">
    <cfRule type="expression" dxfId="1031" priority="1168">
      <formula>$C5=$E$3</formula>
    </cfRule>
    <cfRule type="expression" dxfId="1030" priority="1169">
      <formula>$C5&lt;$E$3</formula>
    </cfRule>
    <cfRule type="cellIs" dxfId="1029" priority="1170" operator="equal">
      <formula>0</formula>
    </cfRule>
    <cfRule type="expression" dxfId="1028" priority="1171">
      <formula>$C5&gt;$E$3</formula>
    </cfRule>
  </conditionalFormatting>
  <conditionalFormatting sqref="M5:M11 M14:M20 M23:M29 M32:M38 M41:M47 M50:M51">
    <cfRule type="expression" dxfId="1027" priority="1167">
      <formula>$E5=""</formula>
    </cfRule>
  </conditionalFormatting>
  <conditionalFormatting sqref="M5:M11 M14:M20 M23:M29 M32:M38 M41:M47 M50:M51">
    <cfRule type="expression" dxfId="1026" priority="1166">
      <formula>$C5&lt;$E$3</formula>
    </cfRule>
  </conditionalFormatting>
  <conditionalFormatting sqref="M5:M11 M14:M20 M23:M29 M32:M38 M41:M47 M50:M51">
    <cfRule type="expression" dxfId="1025" priority="1165">
      <formula>$E5=""</formula>
    </cfRule>
  </conditionalFormatting>
  <conditionalFormatting sqref="M5:M11 M23:M29 M32:M38 M41:M47 M50:M51 M14:M20">
    <cfRule type="expression" dxfId="1024" priority="1164">
      <formula>$E5=""</formula>
    </cfRule>
  </conditionalFormatting>
  <conditionalFormatting sqref="M5:M11 M14:M20 M23:M29 M32:M38 M41:M47 M50:M51">
    <cfRule type="expression" dxfId="1023" priority="1163">
      <formula>$C5&lt;$E$3</formula>
    </cfRule>
  </conditionalFormatting>
  <conditionalFormatting sqref="M5:M11 M14:M20 M23:M29 M32:M38 M41:M47 M50:M51">
    <cfRule type="expression" dxfId="1022" priority="1162">
      <formula>$E5=""</formula>
    </cfRule>
  </conditionalFormatting>
  <conditionalFormatting sqref="M5:M11 M14:M20 M23:M29 M32:M38 M41:M47 M50:M51">
    <cfRule type="expression" dxfId="1021" priority="1161">
      <formula>$C5&lt;$E$3</formula>
    </cfRule>
  </conditionalFormatting>
  <conditionalFormatting sqref="M5:M11 M14:M20 M23:M29 M32:M38 M41:M47 M50:M51">
    <cfRule type="expression" dxfId="1020" priority="1160">
      <formula>$E5=""</formula>
    </cfRule>
  </conditionalFormatting>
  <conditionalFormatting sqref="M5:M11 M14:M20 M23:M29 M32:M38 M41:M47 M50:M51">
    <cfRule type="expression" dxfId="1019" priority="1159">
      <formula>$C5&lt;$E$3</formula>
    </cfRule>
  </conditionalFormatting>
  <conditionalFormatting sqref="M5:M11 M14:M20 M23:M29 M32:M38 M41:M47 M50:M51">
    <cfRule type="expression" dxfId="1018" priority="1158">
      <formula>$E5=""</formula>
    </cfRule>
  </conditionalFormatting>
  <conditionalFormatting sqref="M5:M11 M14:M20 M23:M29 M32:M38 M41:M47 M50:M51">
    <cfRule type="expression" dxfId="1017" priority="1157">
      <formula>$C5&lt;$E$3</formula>
    </cfRule>
  </conditionalFormatting>
  <conditionalFormatting sqref="M5:M11 M14:M20 M23:M29 M32:M38 M41:M47 M50:M51">
    <cfRule type="expression" dxfId="1016" priority="1153">
      <formula>$C5=$E$3</formula>
    </cfRule>
    <cfRule type="expression" dxfId="1015" priority="1154">
      <formula>$C5&lt;$E$3</formula>
    </cfRule>
    <cfRule type="cellIs" dxfId="1014" priority="1155" operator="equal">
      <formula>0</formula>
    </cfRule>
    <cfRule type="expression" dxfId="1013" priority="1156">
      <formula>$C5&gt;$E$3</formula>
    </cfRule>
  </conditionalFormatting>
  <conditionalFormatting sqref="M5:M11 M14:M20 M23:M29 M32:M38 M41:M47 M50:M51">
    <cfRule type="expression" dxfId="1012" priority="1152">
      <formula>$C5&lt;$E$3</formula>
    </cfRule>
  </conditionalFormatting>
  <conditionalFormatting sqref="M5:M11 M14:M20 M23:M29 M32:M38 M41:M47 M50:M51">
    <cfRule type="expression" dxfId="1011" priority="1148">
      <formula>$C5=$E$3</formula>
    </cfRule>
    <cfRule type="expression" dxfId="1010" priority="1149">
      <formula>$C5&lt;$E$3</formula>
    </cfRule>
    <cfRule type="cellIs" dxfId="1009" priority="1150" operator="equal">
      <formula>0</formula>
    </cfRule>
    <cfRule type="expression" dxfId="1008" priority="1151">
      <formula>$C5&gt;$E$3</formula>
    </cfRule>
  </conditionalFormatting>
  <conditionalFormatting sqref="M5:M11 M14:M20 M23:M29 M32:M38 M41:M47 M50:M51">
    <cfRule type="expression" dxfId="1007" priority="1147">
      <formula>$C5&lt;$E$3</formula>
    </cfRule>
  </conditionalFormatting>
  <conditionalFormatting sqref="M5:M11 M14:M20 M23:M29 M32:M38 M41:M47 M50:M51">
    <cfRule type="expression" dxfId="1006" priority="1143">
      <formula>$C5=$E$3</formula>
    </cfRule>
    <cfRule type="expression" dxfId="1005" priority="1144">
      <formula>$C5&lt;$E$3</formula>
    </cfRule>
    <cfRule type="cellIs" dxfId="1004" priority="1145" operator="equal">
      <formula>0</formula>
    </cfRule>
    <cfRule type="expression" dxfId="1003" priority="1146">
      <formula>$C5&gt;$E$3</formula>
    </cfRule>
  </conditionalFormatting>
  <conditionalFormatting sqref="M5:M11 M14:M20 M23:M29 M32:M38 M41:M47 M50:M51">
    <cfRule type="expression" dxfId="1002" priority="1142">
      <formula>$C5&lt;$E$3</formula>
    </cfRule>
  </conditionalFormatting>
  <conditionalFormatting sqref="M5:M11 M14:M20 M23:M29 M32:M38 M41:M47 M50:M51">
    <cfRule type="expression" dxfId="1001" priority="1138">
      <formula>$C5=$E$3</formula>
    </cfRule>
    <cfRule type="expression" dxfId="1000" priority="1139">
      <formula>$C5&lt;$E$3</formula>
    </cfRule>
    <cfRule type="cellIs" dxfId="999" priority="1140" operator="equal">
      <formula>0</formula>
    </cfRule>
    <cfRule type="expression" dxfId="998" priority="1141">
      <formula>$C5&gt;$E$3</formula>
    </cfRule>
  </conditionalFormatting>
  <conditionalFormatting sqref="M5:M11 M14:M20 M23:M29 M32:M38 M41:M47 M50:M51">
    <cfRule type="expression" dxfId="997" priority="1137">
      <formula>$E5=""</formula>
    </cfRule>
  </conditionalFormatting>
  <conditionalFormatting sqref="M5:M11 M14:M20 M23:M29 M32:M38 M41:M47 M50:M51">
    <cfRule type="expression" dxfId="996" priority="1136">
      <formula>$C5&lt;$E$3</formula>
    </cfRule>
  </conditionalFormatting>
  <conditionalFormatting sqref="M5:M11 M14:M20 M23:M29 M32:M38 M41:M47 M50:M51">
    <cfRule type="expression" dxfId="995" priority="1135">
      <formula>$E5=""</formula>
    </cfRule>
  </conditionalFormatting>
  <conditionalFormatting sqref="M5:M11 M23:M29 M32:M38 M41:M47 M50:M51 M14:M20">
    <cfRule type="expression" dxfId="994" priority="1134">
      <formula>$E5=""</formula>
    </cfRule>
  </conditionalFormatting>
  <conditionalFormatting sqref="M5:M11 M14:M20 M23:M29 M32:M38 M41:M47 M50:M51">
    <cfRule type="expression" dxfId="993" priority="1133">
      <formula>$C5&lt;$E$3</formula>
    </cfRule>
  </conditionalFormatting>
  <conditionalFormatting sqref="M5:M11 M14:M20 M23:M29 M32:M38 M41:M47 M50:M51">
    <cfRule type="expression" dxfId="992" priority="1132">
      <formula>$E5=""</formula>
    </cfRule>
  </conditionalFormatting>
  <conditionalFormatting sqref="M5:M11 M14:M20 M23:M29 M32:M38 M41:M47 M50:M51">
    <cfRule type="expression" dxfId="991" priority="1131">
      <formula>$C5&lt;$E$3</formula>
    </cfRule>
  </conditionalFormatting>
  <conditionalFormatting sqref="M5:M11 M14:M20 M23:M29 M32:M38 M41:M47 M50:M51">
    <cfRule type="expression" dxfId="990" priority="1130">
      <formula>$E5=""</formula>
    </cfRule>
  </conditionalFormatting>
  <conditionalFormatting sqref="M5:M11 M14:M20 M23:M29 M32:M38 M41:M47 M50:M51">
    <cfRule type="expression" dxfId="989" priority="1129">
      <formula>$C5&lt;$E$3</formula>
    </cfRule>
  </conditionalFormatting>
  <conditionalFormatting sqref="M5:M11 M14:M20 M23:M29 M32:M38 M41:M47 M50:M51">
    <cfRule type="expression" dxfId="988" priority="1128">
      <formula>$E5=""</formula>
    </cfRule>
  </conditionalFormatting>
  <conditionalFormatting sqref="K37">
    <cfRule type="expression" dxfId="987" priority="335">
      <formula>$C37&lt;$E$3</formula>
    </cfRule>
  </conditionalFormatting>
  <conditionalFormatting sqref="K37">
    <cfRule type="expression" dxfId="986" priority="331">
      <formula>$C37=$E$3</formula>
    </cfRule>
    <cfRule type="expression" dxfId="985" priority="332">
      <formula>$C37&lt;$E$3</formula>
    </cfRule>
    <cfRule type="cellIs" dxfId="984" priority="333" operator="equal">
      <formula>0</formula>
    </cfRule>
    <cfRule type="expression" dxfId="983" priority="334">
      <formula>$C37&gt;$E$3</formula>
    </cfRule>
  </conditionalFormatting>
  <conditionalFormatting sqref="K37">
    <cfRule type="expression" dxfId="982" priority="330">
      <formula>$C37&lt;$E$3</formula>
    </cfRule>
  </conditionalFormatting>
  <conditionalFormatting sqref="K37">
    <cfRule type="expression" dxfId="981" priority="326">
      <formula>$C37=$E$3</formula>
    </cfRule>
    <cfRule type="expression" dxfId="980" priority="327">
      <formula>$C37&lt;$E$3</formula>
    </cfRule>
    <cfRule type="cellIs" dxfId="979" priority="328" operator="equal">
      <formula>0</formula>
    </cfRule>
    <cfRule type="expression" dxfId="978" priority="329">
      <formula>$C37&gt;$E$3</formula>
    </cfRule>
  </conditionalFormatting>
  <conditionalFormatting sqref="K37">
    <cfRule type="expression" dxfId="977" priority="305">
      <formula>$C37&lt;$E$3</formula>
    </cfRule>
  </conditionalFormatting>
  <conditionalFormatting sqref="K37">
    <cfRule type="expression" dxfId="976" priority="301">
      <formula>$C37=$E$3</formula>
    </cfRule>
    <cfRule type="expression" dxfId="975" priority="302">
      <formula>$C37&lt;$E$3</formula>
    </cfRule>
    <cfRule type="cellIs" dxfId="974" priority="303" operator="equal">
      <formula>0</formula>
    </cfRule>
    <cfRule type="expression" dxfId="973" priority="304">
      <formula>$C37&gt;$E$3</formula>
    </cfRule>
  </conditionalFormatting>
  <conditionalFormatting sqref="K37">
    <cfRule type="expression" dxfId="972" priority="300">
      <formula>$C37&lt;$E$3</formula>
    </cfRule>
  </conditionalFormatting>
  <conditionalFormatting sqref="K37">
    <cfRule type="expression" dxfId="971" priority="296">
      <formula>$C37=$E$3</formula>
    </cfRule>
    <cfRule type="expression" dxfId="970" priority="297">
      <formula>$C37&lt;$E$3</formula>
    </cfRule>
    <cfRule type="cellIs" dxfId="969" priority="298" operator="equal">
      <formula>0</formula>
    </cfRule>
    <cfRule type="expression" dxfId="968" priority="299">
      <formula>$C37&gt;$E$3</formula>
    </cfRule>
  </conditionalFormatting>
  <conditionalFormatting sqref="K32:K36">
    <cfRule type="expression" dxfId="967" priority="275">
      <formula>$C32&lt;$E$3</formula>
    </cfRule>
  </conditionalFormatting>
  <conditionalFormatting sqref="K32:K36">
    <cfRule type="expression" dxfId="966" priority="271">
      <formula>$C32=$E$3</formula>
    </cfRule>
    <cfRule type="expression" dxfId="965" priority="272">
      <formula>$C32&lt;$E$3</formula>
    </cfRule>
    <cfRule type="cellIs" dxfId="964" priority="273" operator="equal">
      <formula>0</formula>
    </cfRule>
    <cfRule type="expression" dxfId="963" priority="274">
      <formula>$C32&gt;$E$3</formula>
    </cfRule>
  </conditionalFormatting>
  <conditionalFormatting sqref="K32:K36">
    <cfRule type="expression" dxfId="962" priority="270">
      <formula>$C32&lt;$E$3</formula>
    </cfRule>
  </conditionalFormatting>
  <conditionalFormatting sqref="K32:K36">
    <cfRule type="expression" dxfId="961" priority="266">
      <formula>$C32=$E$3</formula>
    </cfRule>
    <cfRule type="expression" dxfId="960" priority="267">
      <formula>$C32&lt;$E$3</formula>
    </cfRule>
    <cfRule type="cellIs" dxfId="959" priority="268" operator="equal">
      <formula>0</formula>
    </cfRule>
    <cfRule type="expression" dxfId="958" priority="269">
      <formula>$C32&gt;$E$3</formula>
    </cfRule>
  </conditionalFormatting>
  <conditionalFormatting sqref="H23:H29 H32 H14:H20 H11">
    <cfRule type="cellIs" dxfId="957" priority="1007" stopIfTrue="1" operator="lessThan">
      <formula>0</formula>
    </cfRule>
  </conditionalFormatting>
  <conditionalFormatting sqref="H12">
    <cfRule type="expression" dxfId="956" priority="1006">
      <formula>$F12&gt;=$F13</formula>
    </cfRule>
  </conditionalFormatting>
  <conditionalFormatting sqref="H21">
    <cfRule type="expression" dxfId="955" priority="1005">
      <formula>$F21&gt;=$F22</formula>
    </cfRule>
  </conditionalFormatting>
  <conditionalFormatting sqref="H30">
    <cfRule type="expression" dxfId="954" priority="1004">
      <formula>$F30&gt;=$F31</formula>
    </cfRule>
  </conditionalFormatting>
  <conditionalFormatting sqref="H12">
    <cfRule type="expression" dxfId="953" priority="1003">
      <formula>$F12&gt;=$F13</formula>
    </cfRule>
  </conditionalFormatting>
  <conditionalFormatting sqref="H21">
    <cfRule type="expression" dxfId="952" priority="1002">
      <formula>$F21&gt;=$F22</formula>
    </cfRule>
  </conditionalFormatting>
  <conditionalFormatting sqref="H30">
    <cfRule type="expression" dxfId="951" priority="1001">
      <formula>$F30&gt;=$F31</formula>
    </cfRule>
  </conditionalFormatting>
  <conditionalFormatting sqref="H11">
    <cfRule type="expression" dxfId="950" priority="999">
      <formula>$C11&lt;$E$3</formula>
    </cfRule>
  </conditionalFormatting>
  <conditionalFormatting sqref="H11">
    <cfRule type="expression" dxfId="949" priority="996">
      <formula>$C11=$E$3</formula>
    </cfRule>
    <cfRule type="expression" dxfId="948" priority="997">
      <formula>$C11&lt;$E$3</formula>
    </cfRule>
    <cfRule type="cellIs" dxfId="947" priority="998" operator="equal">
      <formula>0</formula>
    </cfRule>
    <cfRule type="expression" dxfId="946" priority="1000">
      <formula>$C11&gt;$E$3</formula>
    </cfRule>
  </conditionalFormatting>
  <conditionalFormatting sqref="H11">
    <cfRule type="expression" dxfId="945" priority="995">
      <formula>$C11&lt;$E$3</formula>
    </cfRule>
  </conditionalFormatting>
  <conditionalFormatting sqref="H11">
    <cfRule type="expression" dxfId="944" priority="991">
      <formula>$C11=$E$3</formula>
    </cfRule>
    <cfRule type="expression" dxfId="943" priority="992">
      <formula>$C11&lt;$E$3</formula>
    </cfRule>
    <cfRule type="cellIs" dxfId="942" priority="993" operator="equal">
      <formula>0</formula>
    </cfRule>
    <cfRule type="expression" dxfId="941" priority="994">
      <formula>$C11&gt;$E$3</formula>
    </cfRule>
  </conditionalFormatting>
  <conditionalFormatting sqref="H11">
    <cfRule type="expression" dxfId="940" priority="990">
      <formula>$C11&lt;$E$3</formula>
    </cfRule>
  </conditionalFormatting>
  <conditionalFormatting sqref="H11">
    <cfRule type="expression" dxfId="939" priority="986">
      <formula>$C11=$E$3</formula>
    </cfRule>
    <cfRule type="expression" dxfId="938" priority="987">
      <formula>$C11&lt;$E$3</formula>
    </cfRule>
    <cfRule type="cellIs" dxfId="937" priority="988" operator="equal">
      <formula>0</formula>
    </cfRule>
    <cfRule type="expression" dxfId="936" priority="989">
      <formula>$C11&gt;$E$3</formula>
    </cfRule>
  </conditionalFormatting>
  <conditionalFormatting sqref="H11">
    <cfRule type="expression" dxfId="935" priority="985">
      <formula>$C11&lt;$E$3</formula>
    </cfRule>
  </conditionalFormatting>
  <conditionalFormatting sqref="H11">
    <cfRule type="expression" dxfId="934" priority="981">
      <formula>$C11=$E$3</formula>
    </cfRule>
    <cfRule type="expression" dxfId="933" priority="982">
      <formula>$C11&lt;$E$3</formula>
    </cfRule>
    <cfRule type="cellIs" dxfId="932" priority="983" operator="equal">
      <formula>0</formula>
    </cfRule>
    <cfRule type="expression" dxfId="931" priority="984">
      <formula>$C11&gt;$E$3</formula>
    </cfRule>
  </conditionalFormatting>
  <conditionalFormatting sqref="H11">
    <cfRule type="expression" dxfId="930" priority="980">
      <formula>$E11=""</formula>
    </cfRule>
  </conditionalFormatting>
  <conditionalFormatting sqref="H11">
    <cfRule type="expression" dxfId="929" priority="979">
      <formula>$C11&lt;$E$3</formula>
    </cfRule>
  </conditionalFormatting>
  <conditionalFormatting sqref="H11">
    <cfRule type="expression" dxfId="928" priority="978">
      <formula>$E11=""</formula>
    </cfRule>
  </conditionalFormatting>
  <conditionalFormatting sqref="H11">
    <cfRule type="expression" dxfId="927" priority="977">
      <formula>$E11=""</formula>
    </cfRule>
  </conditionalFormatting>
  <conditionalFormatting sqref="H11">
    <cfRule type="expression" dxfId="926" priority="976">
      <formula>$C11&lt;$E$3</formula>
    </cfRule>
  </conditionalFormatting>
  <conditionalFormatting sqref="H11">
    <cfRule type="expression" dxfId="925" priority="975">
      <formula>$E11=""</formula>
    </cfRule>
  </conditionalFormatting>
  <conditionalFormatting sqref="H11">
    <cfRule type="expression" dxfId="924" priority="974">
      <formula>$C11&lt;$E$3</formula>
    </cfRule>
  </conditionalFormatting>
  <conditionalFormatting sqref="H11">
    <cfRule type="expression" dxfId="923" priority="973">
      <formula>$E11=""</formula>
    </cfRule>
  </conditionalFormatting>
  <conditionalFormatting sqref="H11">
    <cfRule type="expression" dxfId="922" priority="972">
      <formula>$C11&lt;$E$3</formula>
    </cfRule>
  </conditionalFormatting>
  <conditionalFormatting sqref="H11">
    <cfRule type="expression" dxfId="921" priority="971">
      <formula>$E11=""</formula>
    </cfRule>
  </conditionalFormatting>
  <conditionalFormatting sqref="H14:H20">
    <cfRule type="expression" dxfId="920" priority="969">
      <formula>$C14&lt;$E$3</formula>
    </cfRule>
  </conditionalFormatting>
  <conditionalFormatting sqref="H14:H20">
    <cfRule type="expression" dxfId="919" priority="966">
      <formula>$C14=$E$3</formula>
    </cfRule>
    <cfRule type="expression" dxfId="918" priority="967">
      <formula>$C14&lt;$E$3</formula>
    </cfRule>
    <cfRule type="cellIs" dxfId="917" priority="968" operator="equal">
      <formula>0</formula>
    </cfRule>
    <cfRule type="expression" dxfId="916" priority="970">
      <formula>$C14&gt;$E$3</formula>
    </cfRule>
  </conditionalFormatting>
  <conditionalFormatting sqref="H14:H20">
    <cfRule type="expression" dxfId="915" priority="965">
      <formula>$C14&lt;$E$3</formula>
    </cfRule>
  </conditionalFormatting>
  <conditionalFormatting sqref="H14:H20">
    <cfRule type="expression" dxfId="914" priority="961">
      <formula>$C14=$E$3</formula>
    </cfRule>
    <cfRule type="expression" dxfId="913" priority="962">
      <formula>$C14&lt;$E$3</formula>
    </cfRule>
    <cfRule type="cellIs" dxfId="912" priority="963" operator="equal">
      <formula>0</formula>
    </cfRule>
    <cfRule type="expression" dxfId="911" priority="964">
      <formula>$C14&gt;$E$3</formula>
    </cfRule>
  </conditionalFormatting>
  <conditionalFormatting sqref="H14:H20">
    <cfRule type="expression" dxfId="910" priority="960">
      <formula>$C14&lt;$E$3</formula>
    </cfRule>
  </conditionalFormatting>
  <conditionalFormatting sqref="H14:H20">
    <cfRule type="expression" dxfId="909" priority="956">
      <formula>$C14=$E$3</formula>
    </cfRule>
    <cfRule type="expression" dxfId="908" priority="957">
      <formula>$C14&lt;$E$3</formula>
    </cfRule>
    <cfRule type="cellIs" dxfId="907" priority="958" operator="equal">
      <formula>0</formula>
    </cfRule>
    <cfRule type="expression" dxfId="906" priority="959">
      <formula>$C14&gt;$E$3</formula>
    </cfRule>
  </conditionalFormatting>
  <conditionalFormatting sqref="H14:H20">
    <cfRule type="expression" dxfId="905" priority="955">
      <formula>$C14&lt;$E$3</formula>
    </cfRule>
  </conditionalFormatting>
  <conditionalFormatting sqref="H14:H20">
    <cfRule type="expression" dxfId="904" priority="951">
      <formula>$C14=$E$3</formula>
    </cfRule>
    <cfRule type="expression" dxfId="903" priority="952">
      <formula>$C14&lt;$E$3</formula>
    </cfRule>
    <cfRule type="cellIs" dxfId="902" priority="953" operator="equal">
      <formula>0</formula>
    </cfRule>
    <cfRule type="expression" dxfId="901" priority="954">
      <formula>$C14&gt;$E$3</formula>
    </cfRule>
  </conditionalFormatting>
  <conditionalFormatting sqref="H14:H20">
    <cfRule type="expression" dxfId="900" priority="950">
      <formula>$E14=""</formula>
    </cfRule>
  </conditionalFormatting>
  <conditionalFormatting sqref="H14:H20">
    <cfRule type="expression" dxfId="899" priority="949">
      <formula>$C14&lt;$E$3</formula>
    </cfRule>
  </conditionalFormatting>
  <conditionalFormatting sqref="H14:H20">
    <cfRule type="expression" dxfId="898" priority="948">
      <formula>$E14=""</formula>
    </cfRule>
  </conditionalFormatting>
  <conditionalFormatting sqref="H14:H20">
    <cfRule type="expression" dxfId="897" priority="947">
      <formula>$E14=""</formula>
    </cfRule>
  </conditionalFormatting>
  <conditionalFormatting sqref="H14:H20">
    <cfRule type="expression" dxfId="896" priority="946">
      <formula>$C14&lt;$E$3</formula>
    </cfRule>
  </conditionalFormatting>
  <conditionalFormatting sqref="H14:H20">
    <cfRule type="expression" dxfId="895" priority="945">
      <formula>$E14=""</formula>
    </cfRule>
  </conditionalFormatting>
  <conditionalFormatting sqref="H14:H20">
    <cfRule type="expression" dxfId="894" priority="944">
      <formula>$C14&lt;$E$3</formula>
    </cfRule>
  </conditionalFormatting>
  <conditionalFormatting sqref="H14:H20">
    <cfRule type="expression" dxfId="893" priority="943">
      <formula>$E14=""</formula>
    </cfRule>
  </conditionalFormatting>
  <conditionalFormatting sqref="H14:H20">
    <cfRule type="expression" dxfId="892" priority="942">
      <formula>$C14&lt;$E$3</formula>
    </cfRule>
  </conditionalFormatting>
  <conditionalFormatting sqref="H14:H20">
    <cfRule type="expression" dxfId="891" priority="941">
      <formula>$E14=""</formula>
    </cfRule>
  </conditionalFormatting>
  <conditionalFormatting sqref="H23:H29">
    <cfRule type="expression" dxfId="890" priority="939">
      <formula>$C23&lt;$E$3</formula>
    </cfRule>
  </conditionalFormatting>
  <conditionalFormatting sqref="H23:H29">
    <cfRule type="expression" dxfId="889" priority="936">
      <formula>$C23=$E$3</formula>
    </cfRule>
    <cfRule type="expression" dxfId="888" priority="937">
      <formula>$C23&lt;$E$3</formula>
    </cfRule>
    <cfRule type="cellIs" dxfId="887" priority="938" operator="equal">
      <formula>0</formula>
    </cfRule>
    <cfRule type="expression" dxfId="886" priority="940">
      <formula>$C23&gt;$E$3</formula>
    </cfRule>
  </conditionalFormatting>
  <conditionalFormatting sqref="H23:H29">
    <cfRule type="expression" dxfId="885" priority="935">
      <formula>$C23&lt;$E$3</formula>
    </cfRule>
  </conditionalFormatting>
  <conditionalFormatting sqref="H23:H29">
    <cfRule type="expression" dxfId="884" priority="931">
      <formula>$C23=$E$3</formula>
    </cfRule>
    <cfRule type="expression" dxfId="883" priority="932">
      <formula>$C23&lt;$E$3</formula>
    </cfRule>
    <cfRule type="cellIs" dxfId="882" priority="933" operator="equal">
      <formula>0</formula>
    </cfRule>
    <cfRule type="expression" dxfId="881" priority="934">
      <formula>$C23&gt;$E$3</formula>
    </cfRule>
  </conditionalFormatting>
  <conditionalFormatting sqref="H23:H29">
    <cfRule type="expression" dxfId="880" priority="930">
      <formula>$C23&lt;$E$3</formula>
    </cfRule>
  </conditionalFormatting>
  <conditionalFormatting sqref="H23:H29">
    <cfRule type="expression" dxfId="879" priority="926">
      <formula>$C23=$E$3</formula>
    </cfRule>
    <cfRule type="expression" dxfId="878" priority="927">
      <formula>$C23&lt;$E$3</formula>
    </cfRule>
    <cfRule type="cellIs" dxfId="877" priority="928" operator="equal">
      <formula>0</formula>
    </cfRule>
    <cfRule type="expression" dxfId="876" priority="929">
      <formula>$C23&gt;$E$3</formula>
    </cfRule>
  </conditionalFormatting>
  <conditionalFormatting sqref="H23:H29">
    <cfRule type="expression" dxfId="875" priority="925">
      <formula>$C23&lt;$E$3</formula>
    </cfRule>
  </conditionalFormatting>
  <conditionalFormatting sqref="H23:H29">
    <cfRule type="expression" dxfId="874" priority="921">
      <formula>$C23=$E$3</formula>
    </cfRule>
    <cfRule type="expression" dxfId="873" priority="922">
      <formula>$C23&lt;$E$3</formula>
    </cfRule>
    <cfRule type="cellIs" dxfId="872" priority="923" operator="equal">
      <formula>0</formula>
    </cfRule>
    <cfRule type="expression" dxfId="871" priority="924">
      <formula>$C23&gt;$E$3</formula>
    </cfRule>
  </conditionalFormatting>
  <conditionalFormatting sqref="H23:H29">
    <cfRule type="expression" dxfId="870" priority="920">
      <formula>$E23=""</formula>
    </cfRule>
  </conditionalFormatting>
  <conditionalFormatting sqref="H23:H29">
    <cfRule type="expression" dxfId="869" priority="919">
      <formula>$C23&lt;$E$3</formula>
    </cfRule>
  </conditionalFormatting>
  <conditionalFormatting sqref="H23:H29">
    <cfRule type="expression" dxfId="868" priority="918">
      <formula>$E23=""</formula>
    </cfRule>
  </conditionalFormatting>
  <conditionalFormatting sqref="H23:H29">
    <cfRule type="expression" dxfId="867" priority="917">
      <formula>$E23=""</formula>
    </cfRule>
  </conditionalFormatting>
  <conditionalFormatting sqref="H23:H29">
    <cfRule type="expression" dxfId="866" priority="916">
      <formula>$C23&lt;$E$3</formula>
    </cfRule>
  </conditionalFormatting>
  <conditionalFormatting sqref="H23:H29">
    <cfRule type="expression" dxfId="865" priority="915">
      <formula>$E23=""</formula>
    </cfRule>
  </conditionalFormatting>
  <conditionalFormatting sqref="H23:H29">
    <cfRule type="expression" dxfId="864" priority="914">
      <formula>$C23&lt;$E$3</formula>
    </cfRule>
  </conditionalFormatting>
  <conditionalFormatting sqref="H23:H29">
    <cfRule type="expression" dxfId="863" priority="913">
      <formula>$E23=""</formula>
    </cfRule>
  </conditionalFormatting>
  <conditionalFormatting sqref="H23:H29">
    <cfRule type="expression" dxfId="862" priority="912">
      <formula>$C23&lt;$E$3</formula>
    </cfRule>
  </conditionalFormatting>
  <conditionalFormatting sqref="H23:H29">
    <cfRule type="expression" dxfId="861" priority="911">
      <formula>$E23=""</formula>
    </cfRule>
  </conditionalFormatting>
  <conditionalFormatting sqref="H32">
    <cfRule type="expression" dxfId="860" priority="909">
      <formula>$C32&lt;$E$3</formula>
    </cfRule>
  </conditionalFormatting>
  <conditionalFormatting sqref="H32">
    <cfRule type="expression" dxfId="859" priority="906">
      <formula>$C32=$E$3</formula>
    </cfRule>
    <cfRule type="expression" dxfId="858" priority="907">
      <formula>$C32&lt;$E$3</formula>
    </cfRule>
    <cfRule type="cellIs" dxfId="857" priority="908" operator="equal">
      <formula>0</formula>
    </cfRule>
    <cfRule type="expression" dxfId="856" priority="910">
      <formula>$C32&gt;$E$3</formula>
    </cfRule>
  </conditionalFormatting>
  <conditionalFormatting sqref="H32">
    <cfRule type="expression" dxfId="855" priority="905">
      <formula>$C32&lt;$E$3</formula>
    </cfRule>
  </conditionalFormatting>
  <conditionalFormatting sqref="H32">
    <cfRule type="expression" dxfId="854" priority="901">
      <formula>$C32=$E$3</formula>
    </cfRule>
    <cfRule type="expression" dxfId="853" priority="902">
      <formula>$C32&lt;$E$3</formula>
    </cfRule>
    <cfRule type="cellIs" dxfId="852" priority="903" operator="equal">
      <formula>0</formula>
    </cfRule>
    <cfRule type="expression" dxfId="851" priority="904">
      <formula>$C32&gt;$E$3</formula>
    </cfRule>
  </conditionalFormatting>
  <conditionalFormatting sqref="H32">
    <cfRule type="expression" dxfId="850" priority="900">
      <formula>$C32&lt;$E$3</formula>
    </cfRule>
  </conditionalFormatting>
  <conditionalFormatting sqref="H32">
    <cfRule type="expression" dxfId="849" priority="896">
      <formula>$C32=$E$3</formula>
    </cfRule>
    <cfRule type="expression" dxfId="848" priority="897">
      <formula>$C32&lt;$E$3</formula>
    </cfRule>
    <cfRule type="cellIs" dxfId="847" priority="898" operator="equal">
      <formula>0</formula>
    </cfRule>
    <cfRule type="expression" dxfId="846" priority="899">
      <formula>$C32&gt;$E$3</formula>
    </cfRule>
  </conditionalFormatting>
  <conditionalFormatting sqref="H32">
    <cfRule type="expression" dxfId="845" priority="895">
      <formula>$C32&lt;$E$3</formula>
    </cfRule>
  </conditionalFormatting>
  <conditionalFormatting sqref="H32">
    <cfRule type="expression" dxfId="844" priority="891">
      <formula>$C32=$E$3</formula>
    </cfRule>
    <cfRule type="expression" dxfId="843" priority="892">
      <formula>$C32&lt;$E$3</formula>
    </cfRule>
    <cfRule type="cellIs" dxfId="842" priority="893" operator="equal">
      <formula>0</formula>
    </cfRule>
    <cfRule type="expression" dxfId="841" priority="894">
      <formula>$C32&gt;$E$3</formula>
    </cfRule>
  </conditionalFormatting>
  <conditionalFormatting sqref="H32">
    <cfRule type="expression" dxfId="840" priority="890">
      <formula>$E32=""</formula>
    </cfRule>
  </conditionalFormatting>
  <conditionalFormatting sqref="H32">
    <cfRule type="expression" dxfId="839" priority="889">
      <formula>$C32&lt;$E$3</formula>
    </cfRule>
  </conditionalFormatting>
  <conditionalFormatting sqref="H32">
    <cfRule type="expression" dxfId="838" priority="888">
      <formula>$E32=""</formula>
    </cfRule>
  </conditionalFormatting>
  <conditionalFormatting sqref="H32">
    <cfRule type="expression" dxfId="837" priority="887">
      <formula>$E32=""</formula>
    </cfRule>
  </conditionalFormatting>
  <conditionalFormatting sqref="H32">
    <cfRule type="expression" dxfId="836" priority="886">
      <formula>$C32&lt;$E$3</formula>
    </cfRule>
  </conditionalFormatting>
  <conditionalFormatting sqref="H32">
    <cfRule type="expression" dxfId="835" priority="885">
      <formula>$E32=""</formula>
    </cfRule>
  </conditionalFormatting>
  <conditionalFormatting sqref="H32">
    <cfRule type="expression" dxfId="834" priority="884">
      <formula>$C32&lt;$E$3</formula>
    </cfRule>
  </conditionalFormatting>
  <conditionalFormatting sqref="H32">
    <cfRule type="expression" dxfId="833" priority="883">
      <formula>$E32=""</formula>
    </cfRule>
  </conditionalFormatting>
  <conditionalFormatting sqref="H32">
    <cfRule type="expression" dxfId="832" priority="882">
      <formula>$C32&lt;$E$3</formula>
    </cfRule>
  </conditionalFormatting>
  <conditionalFormatting sqref="H32">
    <cfRule type="expression" dxfId="831" priority="881">
      <formula>$E32=""</formula>
    </cfRule>
  </conditionalFormatting>
  <conditionalFormatting sqref="F52:H52">
    <cfRule type="expression" dxfId="830" priority="1378" stopIfTrue="1">
      <formula>$H$52=-1E-55</formula>
    </cfRule>
    <cfRule type="expression" dxfId="829" priority="1379">
      <formula>$F52&gt;=$F53</formula>
    </cfRule>
  </conditionalFormatting>
  <conditionalFormatting sqref="K48:K49">
    <cfRule type="cellIs" dxfId="828" priority="879" stopIfTrue="1" operator="lessThan">
      <formula>0</formula>
    </cfRule>
  </conditionalFormatting>
  <conditionalFormatting sqref="K48:K49">
    <cfRule type="expression" dxfId="827" priority="878">
      <formula>$C68&lt;$E$3</formula>
    </cfRule>
  </conditionalFormatting>
  <conditionalFormatting sqref="K48:K49">
    <cfRule type="expression" dxfId="826" priority="874">
      <formula>$C68=$E$3</formula>
    </cfRule>
    <cfRule type="expression" dxfId="825" priority="875">
      <formula>$C68&lt;$E$3</formula>
    </cfRule>
    <cfRule type="cellIs" dxfId="824" priority="876" operator="equal">
      <formula>0</formula>
    </cfRule>
    <cfRule type="expression" dxfId="823" priority="877">
      <formula>$C68&gt;$E$3</formula>
    </cfRule>
  </conditionalFormatting>
  <conditionalFormatting sqref="K48:K49">
    <cfRule type="expression" dxfId="822" priority="873">
      <formula>$C68&lt;$E$3</formula>
    </cfRule>
  </conditionalFormatting>
  <conditionalFormatting sqref="K48:K49">
    <cfRule type="expression" dxfId="821" priority="869">
      <formula>$C68=$E$3</formula>
    </cfRule>
    <cfRule type="expression" dxfId="820" priority="870">
      <formula>$C68&lt;$E$3</formula>
    </cfRule>
    <cfRule type="cellIs" dxfId="819" priority="871" operator="equal">
      <formula>0</formula>
    </cfRule>
    <cfRule type="expression" dxfId="818" priority="872">
      <formula>$C68&gt;$E$3</formula>
    </cfRule>
  </conditionalFormatting>
  <conditionalFormatting sqref="K48:K49">
    <cfRule type="expression" dxfId="817" priority="868">
      <formula>$C68&lt;$E$3</formula>
    </cfRule>
  </conditionalFormatting>
  <conditionalFormatting sqref="K48:K49">
    <cfRule type="expression" dxfId="816" priority="864">
      <formula>$C68=$E$3</formula>
    </cfRule>
    <cfRule type="expression" dxfId="815" priority="865">
      <formula>$C68&lt;$E$3</formula>
    </cfRule>
    <cfRule type="cellIs" dxfId="814" priority="866" operator="equal">
      <formula>0</formula>
    </cfRule>
    <cfRule type="expression" dxfId="813" priority="867">
      <formula>$C68&gt;$E$3</formula>
    </cfRule>
  </conditionalFormatting>
  <conditionalFormatting sqref="K48:K49">
    <cfRule type="expression" dxfId="812" priority="863">
      <formula>$C68&lt;$E$3</formula>
    </cfRule>
  </conditionalFormatting>
  <conditionalFormatting sqref="K48:K49">
    <cfRule type="expression" dxfId="811" priority="859">
      <formula>$C68=$E$3</formula>
    </cfRule>
    <cfRule type="expression" dxfId="810" priority="860">
      <formula>$C68&lt;$E$3</formula>
    </cfRule>
    <cfRule type="cellIs" dxfId="809" priority="861" operator="equal">
      <formula>0</formula>
    </cfRule>
    <cfRule type="expression" dxfId="808" priority="862">
      <formula>$C68&gt;$E$3</formula>
    </cfRule>
  </conditionalFormatting>
  <conditionalFormatting sqref="K48:K49">
    <cfRule type="expression" dxfId="807" priority="858">
      <formula>$E68=""</formula>
    </cfRule>
  </conditionalFormatting>
  <conditionalFormatting sqref="K48:K49">
    <cfRule type="expression" dxfId="806" priority="857">
      <formula>$C68&lt;$E$3</formula>
    </cfRule>
  </conditionalFormatting>
  <conditionalFormatting sqref="K48:K49">
    <cfRule type="expression" dxfId="805" priority="856">
      <formula>$E68=""</formula>
    </cfRule>
  </conditionalFormatting>
  <conditionalFormatting sqref="K48:K49">
    <cfRule type="expression" dxfId="804" priority="855">
      <formula>$E68=""</formula>
    </cfRule>
  </conditionalFormatting>
  <conditionalFormatting sqref="K48:K49">
    <cfRule type="expression" dxfId="803" priority="854">
      <formula>$C68&lt;$E$3</formula>
    </cfRule>
  </conditionalFormatting>
  <conditionalFormatting sqref="K48:K49">
    <cfRule type="expression" dxfId="802" priority="853">
      <formula>$E68=""</formula>
    </cfRule>
  </conditionalFormatting>
  <conditionalFormatting sqref="K48:K49">
    <cfRule type="expression" dxfId="801" priority="852">
      <formula>$C68&lt;$E$3</formula>
    </cfRule>
  </conditionalFormatting>
  <conditionalFormatting sqref="K48:K49">
    <cfRule type="expression" dxfId="800" priority="851">
      <formula>$E68=""</formula>
    </cfRule>
  </conditionalFormatting>
  <conditionalFormatting sqref="K48:K49">
    <cfRule type="expression" dxfId="799" priority="850">
      <formula>$C68&lt;$E$3</formula>
    </cfRule>
  </conditionalFormatting>
  <conditionalFormatting sqref="K48:K49">
    <cfRule type="expression" dxfId="798" priority="849">
      <formula>$E68=""</formula>
    </cfRule>
  </conditionalFormatting>
  <conditionalFormatting sqref="K48:K49">
    <cfRule type="expression" dxfId="797" priority="848">
      <formula>$C68&lt;$E$3</formula>
    </cfRule>
  </conditionalFormatting>
  <conditionalFormatting sqref="K48:K49">
    <cfRule type="expression" dxfId="796" priority="844">
      <formula>$C68=$E$3</formula>
    </cfRule>
    <cfRule type="expression" dxfId="795" priority="845">
      <formula>$C68&lt;$E$3</formula>
    </cfRule>
    <cfRule type="cellIs" dxfId="794" priority="846" operator="equal">
      <formula>0</formula>
    </cfRule>
    <cfRule type="expression" dxfId="793" priority="847">
      <formula>$C68&gt;$E$3</formula>
    </cfRule>
  </conditionalFormatting>
  <conditionalFormatting sqref="K48:K49">
    <cfRule type="expression" dxfId="792" priority="843">
      <formula>$C68&lt;$E$3</formula>
    </cfRule>
  </conditionalFormatting>
  <conditionalFormatting sqref="K48:K49">
    <cfRule type="expression" dxfId="791" priority="839">
      <formula>$C68=$E$3</formula>
    </cfRule>
    <cfRule type="expression" dxfId="790" priority="840">
      <formula>$C68&lt;$E$3</formula>
    </cfRule>
    <cfRule type="cellIs" dxfId="789" priority="841" operator="equal">
      <formula>0</formula>
    </cfRule>
    <cfRule type="expression" dxfId="788" priority="842">
      <formula>$C68&gt;$E$3</formula>
    </cfRule>
  </conditionalFormatting>
  <conditionalFormatting sqref="K48:K49">
    <cfRule type="expression" dxfId="787" priority="838">
      <formula>$C68&lt;$E$3</formula>
    </cfRule>
  </conditionalFormatting>
  <conditionalFormatting sqref="K48:K49">
    <cfRule type="expression" dxfId="786" priority="834">
      <formula>$C68=$E$3</formula>
    </cfRule>
    <cfRule type="expression" dxfId="785" priority="835">
      <formula>$C68&lt;$E$3</formula>
    </cfRule>
    <cfRule type="cellIs" dxfId="784" priority="836" operator="equal">
      <formula>0</formula>
    </cfRule>
    <cfRule type="expression" dxfId="783" priority="837">
      <formula>$C68&gt;$E$3</formula>
    </cfRule>
  </conditionalFormatting>
  <conditionalFormatting sqref="K48:K49">
    <cfRule type="expression" dxfId="782" priority="833">
      <formula>$C68&lt;$E$3</formula>
    </cfRule>
  </conditionalFormatting>
  <conditionalFormatting sqref="K48:K49">
    <cfRule type="expression" dxfId="781" priority="829">
      <formula>$C68=$E$3</formula>
    </cfRule>
    <cfRule type="expression" dxfId="780" priority="830">
      <formula>$C68&lt;$E$3</formula>
    </cfRule>
    <cfRule type="cellIs" dxfId="779" priority="831" operator="equal">
      <formula>0</formula>
    </cfRule>
    <cfRule type="expression" dxfId="778" priority="832">
      <formula>$C68&gt;$E$3</formula>
    </cfRule>
  </conditionalFormatting>
  <conditionalFormatting sqref="K48:K49">
    <cfRule type="expression" dxfId="777" priority="828">
      <formula>$E68=""</formula>
    </cfRule>
  </conditionalFormatting>
  <conditionalFormatting sqref="K48:K49">
    <cfRule type="expression" dxfId="776" priority="827">
      <formula>$C68&lt;$E$3</formula>
    </cfRule>
  </conditionalFormatting>
  <conditionalFormatting sqref="K48:K49">
    <cfRule type="expression" dxfId="775" priority="826">
      <formula>$E68=""</formula>
    </cfRule>
  </conditionalFormatting>
  <conditionalFormatting sqref="K48:K49">
    <cfRule type="expression" dxfId="774" priority="825">
      <formula>$E68=""</formula>
    </cfRule>
  </conditionalFormatting>
  <conditionalFormatting sqref="K48:K49">
    <cfRule type="expression" dxfId="773" priority="824">
      <formula>$C68&lt;$E$3</formula>
    </cfRule>
  </conditionalFormatting>
  <conditionalFormatting sqref="K48:K49">
    <cfRule type="expression" dxfId="772" priority="823">
      <formula>$E68=""</formula>
    </cfRule>
  </conditionalFormatting>
  <conditionalFormatting sqref="K48:K49">
    <cfRule type="expression" dxfId="771" priority="822">
      <formula>$C68&lt;$E$3</formula>
    </cfRule>
  </conditionalFormatting>
  <conditionalFormatting sqref="K48:K49">
    <cfRule type="expression" dxfId="770" priority="821">
      <formula>$E68=""</formula>
    </cfRule>
  </conditionalFormatting>
  <conditionalFormatting sqref="K48:K49">
    <cfRule type="expression" dxfId="769" priority="820">
      <formula>$C68&lt;$E$3</formula>
    </cfRule>
  </conditionalFormatting>
  <conditionalFormatting sqref="K48:K49">
    <cfRule type="expression" dxfId="768" priority="819">
      <formula>$E68=""</formula>
    </cfRule>
  </conditionalFormatting>
  <conditionalFormatting sqref="K50:K51">
    <cfRule type="expression" dxfId="767" priority="51">
      <formula>$E50=""</formula>
    </cfRule>
  </conditionalFormatting>
  <conditionalFormatting sqref="H33:H37">
    <cfRule type="cellIs" dxfId="766" priority="794" stopIfTrue="1" operator="lessThan">
      <formula>0</formula>
    </cfRule>
  </conditionalFormatting>
  <conditionalFormatting sqref="H33:H37">
    <cfRule type="expression" dxfId="765" priority="798">
      <formula>$C33&lt;$E$3</formula>
    </cfRule>
  </conditionalFormatting>
  <conditionalFormatting sqref="H33:H37">
    <cfRule type="expression" dxfId="764" priority="795">
      <formula>$C33=$E$3</formula>
    </cfRule>
    <cfRule type="expression" dxfId="763" priority="796">
      <formula>$C33&lt;$E$3</formula>
    </cfRule>
    <cfRule type="cellIs" dxfId="762" priority="797" operator="equal">
      <formula>0</formula>
    </cfRule>
    <cfRule type="expression" dxfId="761" priority="799">
      <formula>$C33&gt;$E$3</formula>
    </cfRule>
  </conditionalFormatting>
  <conditionalFormatting sqref="H33:H37">
    <cfRule type="expression" dxfId="760" priority="793">
      <formula>$C33&lt;$E$3</formula>
    </cfRule>
  </conditionalFormatting>
  <conditionalFormatting sqref="H33:H37">
    <cfRule type="expression" dxfId="759" priority="789">
      <formula>$C33=$E$3</formula>
    </cfRule>
    <cfRule type="expression" dxfId="758" priority="790">
      <formula>$C33&lt;$E$3</formula>
    </cfRule>
    <cfRule type="cellIs" dxfId="757" priority="791" operator="equal">
      <formula>0</formula>
    </cfRule>
    <cfRule type="expression" dxfId="756" priority="792">
      <formula>$C33&gt;$E$3</formula>
    </cfRule>
  </conditionalFormatting>
  <conditionalFormatting sqref="H33:H37">
    <cfRule type="expression" dxfId="755" priority="788">
      <formula>$E33=""</formula>
    </cfRule>
  </conditionalFormatting>
  <conditionalFormatting sqref="H36">
    <cfRule type="expression" dxfId="754" priority="787">
      <formula>$E36=""</formula>
    </cfRule>
  </conditionalFormatting>
  <conditionalFormatting sqref="H33:H37">
    <cfRule type="expression" dxfId="753" priority="786">
      <formula>$C33&lt;$E$3</formula>
    </cfRule>
  </conditionalFormatting>
  <conditionalFormatting sqref="H33:H37">
    <cfRule type="expression" dxfId="752" priority="782">
      <formula>$C33=$E$3</formula>
    </cfRule>
    <cfRule type="expression" dxfId="751" priority="783">
      <formula>$C33&lt;$E$3</formula>
    </cfRule>
    <cfRule type="cellIs" dxfId="750" priority="784" operator="equal">
      <formula>0</formula>
    </cfRule>
    <cfRule type="expression" dxfId="749" priority="785">
      <formula>$C33&gt;$E$3</formula>
    </cfRule>
  </conditionalFormatting>
  <conditionalFormatting sqref="H33:H37">
    <cfRule type="expression" dxfId="748" priority="781">
      <formula>$C33&lt;$E$3</formula>
    </cfRule>
  </conditionalFormatting>
  <conditionalFormatting sqref="H33:H37">
    <cfRule type="expression" dxfId="747" priority="777">
      <formula>$C33=$E$3</formula>
    </cfRule>
    <cfRule type="expression" dxfId="746" priority="778">
      <formula>$C33&lt;$E$3</formula>
    </cfRule>
    <cfRule type="cellIs" dxfId="745" priority="779" operator="equal">
      <formula>0</formula>
    </cfRule>
    <cfRule type="expression" dxfId="744" priority="780">
      <formula>$C33&gt;$E$3</formula>
    </cfRule>
  </conditionalFormatting>
  <conditionalFormatting sqref="H33:H37">
    <cfRule type="expression" dxfId="743" priority="776">
      <formula>$E33=""</formula>
    </cfRule>
  </conditionalFormatting>
  <conditionalFormatting sqref="H33:H37">
    <cfRule type="expression" dxfId="742" priority="775">
      <formula>$C33&lt;$E$3</formula>
    </cfRule>
  </conditionalFormatting>
  <conditionalFormatting sqref="H33:H37">
    <cfRule type="expression" dxfId="741" priority="774">
      <formula>$E33=""</formula>
    </cfRule>
  </conditionalFormatting>
  <conditionalFormatting sqref="H33:H37">
    <cfRule type="expression" dxfId="740" priority="773">
      <formula>$E33=""</formula>
    </cfRule>
  </conditionalFormatting>
  <conditionalFormatting sqref="H33:H37">
    <cfRule type="expression" dxfId="739" priority="772">
      <formula>$C33&lt;$E$3</formula>
    </cfRule>
  </conditionalFormatting>
  <conditionalFormatting sqref="H33:H37">
    <cfRule type="expression" dxfId="738" priority="771">
      <formula>$E33=""</formula>
    </cfRule>
  </conditionalFormatting>
  <conditionalFormatting sqref="H33:H37">
    <cfRule type="expression" dxfId="737" priority="770">
      <formula>$C33&lt;$E$3</formula>
    </cfRule>
  </conditionalFormatting>
  <conditionalFormatting sqref="H33:H37">
    <cfRule type="expression" dxfId="736" priority="769">
      <formula>$E33=""</formula>
    </cfRule>
  </conditionalFormatting>
  <conditionalFormatting sqref="H33:H37">
    <cfRule type="expression" dxfId="735" priority="768">
      <formula>$C33&lt;$E$3</formula>
    </cfRule>
  </conditionalFormatting>
  <conditionalFormatting sqref="H33:H37">
    <cfRule type="expression" dxfId="734" priority="767">
      <formula>$E33=""</formula>
    </cfRule>
  </conditionalFormatting>
  <conditionalFormatting sqref="J39:N40">
    <cfRule type="expression" dxfId="733" priority="766">
      <formula>$L$40=0</formula>
    </cfRule>
  </conditionalFormatting>
  <conditionalFormatting sqref="K5:K11">
    <cfRule type="cellIs" dxfId="732" priority="765" stopIfTrue="1" operator="lessThan">
      <formula>0</formula>
    </cfRule>
  </conditionalFormatting>
  <conditionalFormatting sqref="K5:K11">
    <cfRule type="expression" dxfId="731" priority="763">
      <formula>$C5&lt;$E$3</formula>
    </cfRule>
  </conditionalFormatting>
  <conditionalFormatting sqref="K5:K11">
    <cfRule type="expression" dxfId="730" priority="760">
      <formula>$C5=$E$3</formula>
    </cfRule>
    <cfRule type="expression" dxfId="729" priority="761">
      <formula>$C5&lt;$E$3</formula>
    </cfRule>
    <cfRule type="cellIs" dxfId="728" priority="762" operator="equal">
      <formula>0</formula>
    </cfRule>
    <cfRule type="expression" dxfId="727" priority="764">
      <formula>$C5&gt;$E$3</formula>
    </cfRule>
  </conditionalFormatting>
  <conditionalFormatting sqref="K5:K11">
    <cfRule type="expression" dxfId="726" priority="759">
      <formula>$E5=""</formula>
    </cfRule>
  </conditionalFormatting>
  <conditionalFormatting sqref="K5:K11">
    <cfRule type="expression" dxfId="725" priority="758">
      <formula>$E5=""</formula>
    </cfRule>
  </conditionalFormatting>
  <conditionalFormatting sqref="K5:K11">
    <cfRule type="expression" dxfId="724" priority="757">
      <formula>$E5=""</formula>
    </cfRule>
  </conditionalFormatting>
  <conditionalFormatting sqref="K10">
    <cfRule type="expression" dxfId="723" priority="756">
      <formula>$C10&lt;$E$3</formula>
    </cfRule>
  </conditionalFormatting>
  <conditionalFormatting sqref="K10">
    <cfRule type="expression" dxfId="722" priority="752">
      <formula>$C10=$E$3</formula>
    </cfRule>
    <cfRule type="expression" dxfId="721" priority="753">
      <formula>$C10&lt;$E$3</formula>
    </cfRule>
    <cfRule type="cellIs" dxfId="720" priority="754" operator="equal">
      <formula>0</formula>
    </cfRule>
    <cfRule type="expression" dxfId="719" priority="755">
      <formula>$C10&gt;$E$3</formula>
    </cfRule>
  </conditionalFormatting>
  <conditionalFormatting sqref="K10">
    <cfRule type="expression" dxfId="718" priority="751">
      <formula>$C10&lt;$E$3</formula>
    </cfRule>
  </conditionalFormatting>
  <conditionalFormatting sqref="K10">
    <cfRule type="expression" dxfId="717" priority="747">
      <formula>$C10=$E$3</formula>
    </cfRule>
    <cfRule type="expression" dxfId="716" priority="748">
      <formula>$C10&lt;$E$3</formula>
    </cfRule>
    <cfRule type="cellIs" dxfId="715" priority="749" operator="equal">
      <formula>0</formula>
    </cfRule>
    <cfRule type="expression" dxfId="714" priority="750">
      <formula>$C10&gt;$E$3</formula>
    </cfRule>
  </conditionalFormatting>
  <conditionalFormatting sqref="K10">
    <cfRule type="expression" dxfId="713" priority="746">
      <formula>$C10&lt;$E$3</formula>
    </cfRule>
  </conditionalFormatting>
  <conditionalFormatting sqref="K10">
    <cfRule type="expression" dxfId="712" priority="742">
      <formula>$C10=$E$3</formula>
    </cfRule>
    <cfRule type="expression" dxfId="711" priority="743">
      <formula>$C10&lt;$E$3</formula>
    </cfRule>
    <cfRule type="cellIs" dxfId="710" priority="744" operator="equal">
      <formula>0</formula>
    </cfRule>
    <cfRule type="expression" dxfId="709" priority="745">
      <formula>$C10&gt;$E$3</formula>
    </cfRule>
  </conditionalFormatting>
  <conditionalFormatting sqref="K10">
    <cfRule type="expression" dxfId="708" priority="741">
      <formula>$C10&lt;$E$3</formula>
    </cfRule>
  </conditionalFormatting>
  <conditionalFormatting sqref="K10">
    <cfRule type="expression" dxfId="707" priority="737">
      <formula>$C10=$E$3</formula>
    </cfRule>
    <cfRule type="expression" dxfId="706" priority="738">
      <formula>$C10&lt;$E$3</formula>
    </cfRule>
    <cfRule type="cellIs" dxfId="705" priority="739" operator="equal">
      <formula>0</formula>
    </cfRule>
    <cfRule type="expression" dxfId="704" priority="740">
      <formula>$C10&gt;$E$3</formula>
    </cfRule>
  </conditionalFormatting>
  <conditionalFormatting sqref="K10">
    <cfRule type="expression" dxfId="703" priority="736">
      <formula>$E10=""</formula>
    </cfRule>
  </conditionalFormatting>
  <conditionalFormatting sqref="K10">
    <cfRule type="expression" dxfId="702" priority="735">
      <formula>$C10&lt;$E$3</formula>
    </cfRule>
  </conditionalFormatting>
  <conditionalFormatting sqref="K10">
    <cfRule type="expression" dxfId="701" priority="734">
      <formula>$E10=""</formula>
    </cfRule>
  </conditionalFormatting>
  <conditionalFormatting sqref="K10">
    <cfRule type="expression" dxfId="700" priority="733">
      <formula>$E10=""</formula>
    </cfRule>
  </conditionalFormatting>
  <conditionalFormatting sqref="K10">
    <cfRule type="expression" dxfId="699" priority="732">
      <formula>$C10&lt;$E$3</formula>
    </cfRule>
  </conditionalFormatting>
  <conditionalFormatting sqref="K10">
    <cfRule type="expression" dxfId="698" priority="731">
      <formula>$E10=""</formula>
    </cfRule>
  </conditionalFormatting>
  <conditionalFormatting sqref="K10">
    <cfRule type="expression" dxfId="697" priority="730">
      <formula>$C10&lt;$E$3</formula>
    </cfRule>
  </conditionalFormatting>
  <conditionalFormatting sqref="K10">
    <cfRule type="expression" dxfId="696" priority="729">
      <formula>$E10=""</formula>
    </cfRule>
  </conditionalFormatting>
  <conditionalFormatting sqref="K10">
    <cfRule type="expression" dxfId="695" priority="728">
      <formula>$C10&lt;$E$3</formula>
    </cfRule>
  </conditionalFormatting>
  <conditionalFormatting sqref="K10">
    <cfRule type="expression" dxfId="694" priority="727">
      <formula>$E10=""</formula>
    </cfRule>
  </conditionalFormatting>
  <conditionalFormatting sqref="K10">
    <cfRule type="expression" dxfId="693" priority="726">
      <formula>$C10&lt;$E$3</formula>
    </cfRule>
  </conditionalFormatting>
  <conditionalFormatting sqref="K10">
    <cfRule type="expression" dxfId="692" priority="722">
      <formula>$C10=$E$3</formula>
    </cfRule>
    <cfRule type="expression" dxfId="691" priority="723">
      <formula>$C10&lt;$E$3</formula>
    </cfRule>
    <cfRule type="cellIs" dxfId="690" priority="724" operator="equal">
      <formula>0</formula>
    </cfRule>
    <cfRule type="expression" dxfId="689" priority="725">
      <formula>$C10&gt;$E$3</formula>
    </cfRule>
  </conditionalFormatting>
  <conditionalFormatting sqref="K10">
    <cfRule type="expression" dxfId="688" priority="721">
      <formula>$C10&lt;$E$3</formula>
    </cfRule>
  </conditionalFormatting>
  <conditionalFormatting sqref="K10">
    <cfRule type="expression" dxfId="687" priority="717">
      <formula>$C10=$E$3</formula>
    </cfRule>
    <cfRule type="expression" dxfId="686" priority="718">
      <formula>$C10&lt;$E$3</formula>
    </cfRule>
    <cfRule type="cellIs" dxfId="685" priority="719" operator="equal">
      <formula>0</formula>
    </cfRule>
    <cfRule type="expression" dxfId="684" priority="720">
      <formula>$C10&gt;$E$3</formula>
    </cfRule>
  </conditionalFormatting>
  <conditionalFormatting sqref="K10">
    <cfRule type="expression" dxfId="683" priority="716">
      <formula>$C10&lt;$E$3</formula>
    </cfRule>
  </conditionalFormatting>
  <conditionalFormatting sqref="K10">
    <cfRule type="expression" dxfId="682" priority="712">
      <formula>$C10=$E$3</formula>
    </cfRule>
    <cfRule type="expression" dxfId="681" priority="713">
      <formula>$C10&lt;$E$3</formula>
    </cfRule>
    <cfRule type="cellIs" dxfId="680" priority="714" operator="equal">
      <formula>0</formula>
    </cfRule>
    <cfRule type="expression" dxfId="679" priority="715">
      <formula>$C10&gt;$E$3</formula>
    </cfRule>
  </conditionalFormatting>
  <conditionalFormatting sqref="K10">
    <cfRule type="expression" dxfId="678" priority="711">
      <formula>$C10&lt;$E$3</formula>
    </cfRule>
  </conditionalFormatting>
  <conditionalFormatting sqref="K10">
    <cfRule type="expression" dxfId="677" priority="707">
      <formula>$C10=$E$3</formula>
    </cfRule>
    <cfRule type="expression" dxfId="676" priority="708">
      <formula>$C10&lt;$E$3</formula>
    </cfRule>
    <cfRule type="cellIs" dxfId="675" priority="709" operator="equal">
      <formula>0</formula>
    </cfRule>
    <cfRule type="expression" dxfId="674" priority="710">
      <formula>$C10&gt;$E$3</formula>
    </cfRule>
  </conditionalFormatting>
  <conditionalFormatting sqref="K10">
    <cfRule type="expression" dxfId="673" priority="706">
      <formula>$E10=""</formula>
    </cfRule>
  </conditionalFormatting>
  <conditionalFormatting sqref="K10">
    <cfRule type="expression" dxfId="672" priority="705">
      <formula>$C10&lt;$E$3</formula>
    </cfRule>
  </conditionalFormatting>
  <conditionalFormatting sqref="K10">
    <cfRule type="expression" dxfId="671" priority="704">
      <formula>$E10=""</formula>
    </cfRule>
  </conditionalFormatting>
  <conditionalFormatting sqref="K10">
    <cfRule type="expression" dxfId="670" priority="703">
      <formula>$E10=""</formula>
    </cfRule>
  </conditionalFormatting>
  <conditionalFormatting sqref="K10">
    <cfRule type="expression" dxfId="669" priority="702">
      <formula>$C10&lt;$E$3</formula>
    </cfRule>
  </conditionalFormatting>
  <conditionalFormatting sqref="K10">
    <cfRule type="expression" dxfId="668" priority="701">
      <formula>$E10=""</formula>
    </cfRule>
  </conditionalFormatting>
  <conditionalFormatting sqref="K10">
    <cfRule type="expression" dxfId="667" priority="700">
      <formula>$C10&lt;$E$3</formula>
    </cfRule>
  </conditionalFormatting>
  <conditionalFormatting sqref="K10">
    <cfRule type="expression" dxfId="666" priority="699">
      <formula>$E10=""</formula>
    </cfRule>
  </conditionalFormatting>
  <conditionalFormatting sqref="K10">
    <cfRule type="expression" dxfId="665" priority="698">
      <formula>$C10&lt;$E$3</formula>
    </cfRule>
  </conditionalFormatting>
  <conditionalFormatting sqref="K10">
    <cfRule type="expression" dxfId="664" priority="697">
      <formula>$E10=""</formula>
    </cfRule>
  </conditionalFormatting>
  <conditionalFormatting sqref="K5:K9">
    <cfRule type="expression" dxfId="663" priority="696">
      <formula>$C5&lt;$E$3</formula>
    </cfRule>
  </conditionalFormatting>
  <conditionalFormatting sqref="K5:K9">
    <cfRule type="expression" dxfId="662" priority="692">
      <formula>$C5=$E$3</formula>
    </cfRule>
    <cfRule type="expression" dxfId="661" priority="693">
      <formula>$C5&lt;$E$3</formula>
    </cfRule>
    <cfRule type="cellIs" dxfId="660" priority="694" operator="equal">
      <formula>0</formula>
    </cfRule>
    <cfRule type="expression" dxfId="659" priority="695">
      <formula>$C5&gt;$E$3</formula>
    </cfRule>
  </conditionalFormatting>
  <conditionalFormatting sqref="K5:K9">
    <cfRule type="expression" dxfId="658" priority="691">
      <formula>$C5&lt;$E$3</formula>
    </cfRule>
  </conditionalFormatting>
  <conditionalFormatting sqref="K5:K9">
    <cfRule type="expression" dxfId="657" priority="687">
      <formula>$C5=$E$3</formula>
    </cfRule>
    <cfRule type="expression" dxfId="656" priority="688">
      <formula>$C5&lt;$E$3</formula>
    </cfRule>
    <cfRule type="cellIs" dxfId="655" priority="689" operator="equal">
      <formula>0</formula>
    </cfRule>
    <cfRule type="expression" dxfId="654" priority="690">
      <formula>$C5&gt;$E$3</formula>
    </cfRule>
  </conditionalFormatting>
  <conditionalFormatting sqref="K5:K9">
    <cfRule type="expression" dxfId="653" priority="686">
      <formula>$C5&lt;$E$3</formula>
    </cfRule>
  </conditionalFormatting>
  <conditionalFormatting sqref="K5:K9">
    <cfRule type="expression" dxfId="652" priority="682">
      <formula>$C5=$E$3</formula>
    </cfRule>
    <cfRule type="expression" dxfId="651" priority="683">
      <formula>$C5&lt;$E$3</formula>
    </cfRule>
    <cfRule type="cellIs" dxfId="650" priority="684" operator="equal">
      <formula>0</formula>
    </cfRule>
    <cfRule type="expression" dxfId="649" priority="685">
      <formula>$C5&gt;$E$3</formula>
    </cfRule>
  </conditionalFormatting>
  <conditionalFormatting sqref="K5:K9">
    <cfRule type="expression" dxfId="648" priority="681">
      <formula>$C5&lt;$E$3</formula>
    </cfRule>
  </conditionalFormatting>
  <conditionalFormatting sqref="K5:K9">
    <cfRule type="expression" dxfId="647" priority="677">
      <formula>$C5=$E$3</formula>
    </cfRule>
    <cfRule type="expression" dxfId="646" priority="678">
      <formula>$C5&lt;$E$3</formula>
    </cfRule>
    <cfRule type="cellIs" dxfId="645" priority="679" operator="equal">
      <formula>0</formula>
    </cfRule>
    <cfRule type="expression" dxfId="644" priority="680">
      <formula>$C5&gt;$E$3</formula>
    </cfRule>
  </conditionalFormatting>
  <conditionalFormatting sqref="K5:K9">
    <cfRule type="expression" dxfId="643" priority="676">
      <formula>$E5=""</formula>
    </cfRule>
  </conditionalFormatting>
  <conditionalFormatting sqref="K5:K9">
    <cfRule type="expression" dxfId="642" priority="675">
      <formula>$C5&lt;$E$3</formula>
    </cfRule>
  </conditionalFormatting>
  <conditionalFormatting sqref="K5:K9">
    <cfRule type="expression" dxfId="641" priority="674">
      <formula>$E5=""</formula>
    </cfRule>
  </conditionalFormatting>
  <conditionalFormatting sqref="K5:K9">
    <cfRule type="expression" dxfId="640" priority="673">
      <formula>$E5=""</formula>
    </cfRule>
  </conditionalFormatting>
  <conditionalFormatting sqref="K5:K9">
    <cfRule type="expression" dxfId="639" priority="672">
      <formula>$C5&lt;$E$3</formula>
    </cfRule>
  </conditionalFormatting>
  <conditionalFormatting sqref="K5:K9">
    <cfRule type="expression" dxfId="638" priority="671">
      <formula>$E5=""</formula>
    </cfRule>
  </conditionalFormatting>
  <conditionalFormatting sqref="K5:K9">
    <cfRule type="expression" dxfId="637" priority="670">
      <formula>$C5&lt;$E$3</formula>
    </cfRule>
  </conditionalFormatting>
  <conditionalFormatting sqref="K5:K9">
    <cfRule type="expression" dxfId="636" priority="669">
      <formula>$E5=""</formula>
    </cfRule>
  </conditionalFormatting>
  <conditionalFormatting sqref="K5:K9">
    <cfRule type="expression" dxfId="635" priority="668">
      <formula>$C5&lt;$E$3</formula>
    </cfRule>
  </conditionalFormatting>
  <conditionalFormatting sqref="K5:K9">
    <cfRule type="expression" dxfId="634" priority="667">
      <formula>$E5=""</formula>
    </cfRule>
  </conditionalFormatting>
  <conditionalFormatting sqref="K5:K9">
    <cfRule type="expression" dxfId="633" priority="666">
      <formula>$C5&lt;$E$3</formula>
    </cfRule>
  </conditionalFormatting>
  <conditionalFormatting sqref="K5:K9">
    <cfRule type="expression" dxfId="632" priority="662">
      <formula>$C5=$E$3</formula>
    </cfRule>
    <cfRule type="expression" dxfId="631" priority="663">
      <formula>$C5&lt;$E$3</formula>
    </cfRule>
    <cfRule type="cellIs" dxfId="630" priority="664" operator="equal">
      <formula>0</formula>
    </cfRule>
    <cfRule type="expression" dxfId="629" priority="665">
      <formula>$C5&gt;$E$3</formula>
    </cfRule>
  </conditionalFormatting>
  <conditionalFormatting sqref="K5:K9">
    <cfRule type="expression" dxfId="628" priority="661">
      <formula>$C5&lt;$E$3</formula>
    </cfRule>
  </conditionalFormatting>
  <conditionalFormatting sqref="K5:K9">
    <cfRule type="expression" dxfId="627" priority="657">
      <formula>$C5=$E$3</formula>
    </cfRule>
    <cfRule type="expression" dxfId="626" priority="658">
      <formula>$C5&lt;$E$3</formula>
    </cfRule>
    <cfRule type="cellIs" dxfId="625" priority="659" operator="equal">
      <formula>0</formula>
    </cfRule>
    <cfRule type="expression" dxfId="624" priority="660">
      <formula>$C5&gt;$E$3</formula>
    </cfRule>
  </conditionalFormatting>
  <conditionalFormatting sqref="K5:K9">
    <cfRule type="expression" dxfId="623" priority="656">
      <formula>$C5&lt;$E$3</formula>
    </cfRule>
  </conditionalFormatting>
  <conditionalFormatting sqref="K5:K9">
    <cfRule type="expression" dxfId="622" priority="652">
      <formula>$C5=$E$3</formula>
    </cfRule>
    <cfRule type="expression" dxfId="621" priority="653">
      <formula>$C5&lt;$E$3</formula>
    </cfRule>
    <cfRule type="cellIs" dxfId="620" priority="654" operator="equal">
      <formula>0</formula>
    </cfRule>
    <cfRule type="expression" dxfId="619" priority="655">
      <formula>$C5&gt;$E$3</formula>
    </cfRule>
  </conditionalFormatting>
  <conditionalFormatting sqref="K5:K9">
    <cfRule type="expression" dxfId="618" priority="651">
      <formula>$C5&lt;$E$3</formula>
    </cfRule>
  </conditionalFormatting>
  <conditionalFormatting sqref="K5:K9">
    <cfRule type="expression" dxfId="617" priority="647">
      <formula>$C5=$E$3</formula>
    </cfRule>
    <cfRule type="expression" dxfId="616" priority="648">
      <formula>$C5&lt;$E$3</formula>
    </cfRule>
    <cfRule type="cellIs" dxfId="615" priority="649" operator="equal">
      <formula>0</formula>
    </cfRule>
    <cfRule type="expression" dxfId="614" priority="650">
      <formula>$C5&gt;$E$3</formula>
    </cfRule>
  </conditionalFormatting>
  <conditionalFormatting sqref="K5:K9">
    <cfRule type="expression" dxfId="613" priority="646">
      <formula>$E5=""</formula>
    </cfRule>
  </conditionalFormatting>
  <conditionalFormatting sqref="K5:K9">
    <cfRule type="expression" dxfId="612" priority="645">
      <formula>$C5&lt;$E$3</formula>
    </cfRule>
  </conditionalFormatting>
  <conditionalFormatting sqref="K5:K9">
    <cfRule type="expression" dxfId="611" priority="644">
      <formula>$E5=""</formula>
    </cfRule>
  </conditionalFormatting>
  <conditionalFormatting sqref="K5:K9">
    <cfRule type="expression" dxfId="610" priority="643">
      <formula>$E5=""</formula>
    </cfRule>
  </conditionalFormatting>
  <conditionalFormatting sqref="K5:K9">
    <cfRule type="expression" dxfId="609" priority="642">
      <formula>$C5&lt;$E$3</formula>
    </cfRule>
  </conditionalFormatting>
  <conditionalFormatting sqref="K5:K9">
    <cfRule type="expression" dxfId="608" priority="641">
      <formula>$E5=""</formula>
    </cfRule>
  </conditionalFormatting>
  <conditionalFormatting sqref="K5:K9">
    <cfRule type="expression" dxfId="607" priority="640">
      <formula>$C5&lt;$E$3</formula>
    </cfRule>
  </conditionalFormatting>
  <conditionalFormatting sqref="K5:K9">
    <cfRule type="expression" dxfId="606" priority="639">
      <formula>$E5=""</formula>
    </cfRule>
  </conditionalFormatting>
  <conditionalFormatting sqref="K5:K9">
    <cfRule type="expression" dxfId="605" priority="638">
      <formula>$C5&lt;$E$3</formula>
    </cfRule>
  </conditionalFormatting>
  <conditionalFormatting sqref="K5:K9">
    <cfRule type="expression" dxfId="604" priority="637">
      <formula>$E5=""</formula>
    </cfRule>
  </conditionalFormatting>
  <conditionalFormatting sqref="K5:K11">
    <cfRule type="expression" dxfId="603" priority="635">
      <formula>$C5&lt;$E$3</formula>
    </cfRule>
  </conditionalFormatting>
  <conditionalFormatting sqref="K5:K11">
    <cfRule type="expression" dxfId="602" priority="632">
      <formula>$C5=$E$3</formula>
    </cfRule>
    <cfRule type="expression" dxfId="601" priority="633">
      <formula>$C5&lt;$E$3</formula>
    </cfRule>
    <cfRule type="cellIs" dxfId="600" priority="634" operator="equal">
      <formula>0</formula>
    </cfRule>
    <cfRule type="expression" dxfId="599" priority="636">
      <formula>$C5&gt;$E$3</formula>
    </cfRule>
  </conditionalFormatting>
  <conditionalFormatting sqref="K5:K11">
    <cfRule type="expression" dxfId="598" priority="631">
      <formula>$E5=""</formula>
    </cfRule>
  </conditionalFormatting>
  <conditionalFormatting sqref="K5:K11">
    <cfRule type="expression" dxfId="597" priority="630">
      <formula>$E5=""</formula>
    </cfRule>
  </conditionalFormatting>
  <conditionalFormatting sqref="K5:K11">
    <cfRule type="expression" dxfId="596" priority="629">
      <formula>$E5=""</formula>
    </cfRule>
  </conditionalFormatting>
  <conditionalFormatting sqref="K14:K20">
    <cfRule type="cellIs" dxfId="595" priority="628" stopIfTrue="1" operator="lessThan">
      <formula>0</formula>
    </cfRule>
  </conditionalFormatting>
  <conditionalFormatting sqref="K14:K20">
    <cfRule type="expression" dxfId="594" priority="626">
      <formula>$C14&lt;$E$3</formula>
    </cfRule>
  </conditionalFormatting>
  <conditionalFormatting sqref="K14:K20">
    <cfRule type="expression" dxfId="593" priority="623">
      <formula>$C14=$E$3</formula>
    </cfRule>
    <cfRule type="expression" dxfId="592" priority="624">
      <formula>$C14&lt;$E$3</formula>
    </cfRule>
    <cfRule type="cellIs" dxfId="591" priority="625" operator="equal">
      <formula>0</formula>
    </cfRule>
    <cfRule type="expression" dxfId="590" priority="627">
      <formula>$C14&gt;$E$3</formula>
    </cfRule>
  </conditionalFormatting>
  <conditionalFormatting sqref="K14:K20">
    <cfRule type="expression" dxfId="589" priority="622">
      <formula>$E14=""</formula>
    </cfRule>
  </conditionalFormatting>
  <conditionalFormatting sqref="K14:K20">
    <cfRule type="expression" dxfId="588" priority="621">
      <formula>$E14=""</formula>
    </cfRule>
  </conditionalFormatting>
  <conditionalFormatting sqref="K14:K20">
    <cfRule type="expression" dxfId="587" priority="620">
      <formula>$E14=""</formula>
    </cfRule>
  </conditionalFormatting>
  <conditionalFormatting sqref="K19">
    <cfRule type="expression" dxfId="586" priority="619">
      <formula>$C19&lt;$E$3</formula>
    </cfRule>
  </conditionalFormatting>
  <conditionalFormatting sqref="K19">
    <cfRule type="expression" dxfId="585" priority="615">
      <formula>$C19=$E$3</formula>
    </cfRule>
    <cfRule type="expression" dxfId="584" priority="616">
      <formula>$C19&lt;$E$3</formula>
    </cfRule>
    <cfRule type="cellIs" dxfId="583" priority="617" operator="equal">
      <formula>0</formula>
    </cfRule>
    <cfRule type="expression" dxfId="582" priority="618">
      <formula>$C19&gt;$E$3</formula>
    </cfRule>
  </conditionalFormatting>
  <conditionalFormatting sqref="K19">
    <cfRule type="expression" dxfId="581" priority="614">
      <formula>$C19&lt;$E$3</formula>
    </cfRule>
  </conditionalFormatting>
  <conditionalFormatting sqref="K19">
    <cfRule type="expression" dxfId="580" priority="610">
      <formula>$C19=$E$3</formula>
    </cfRule>
    <cfRule type="expression" dxfId="579" priority="611">
      <formula>$C19&lt;$E$3</formula>
    </cfRule>
    <cfRule type="cellIs" dxfId="578" priority="612" operator="equal">
      <formula>0</formula>
    </cfRule>
    <cfRule type="expression" dxfId="577" priority="613">
      <formula>$C19&gt;$E$3</formula>
    </cfRule>
  </conditionalFormatting>
  <conditionalFormatting sqref="K19">
    <cfRule type="expression" dxfId="576" priority="609">
      <formula>$C19&lt;$E$3</formula>
    </cfRule>
  </conditionalFormatting>
  <conditionalFormatting sqref="K19">
    <cfRule type="expression" dxfId="575" priority="605">
      <formula>$C19=$E$3</formula>
    </cfRule>
    <cfRule type="expression" dxfId="574" priority="606">
      <formula>$C19&lt;$E$3</formula>
    </cfRule>
    <cfRule type="cellIs" dxfId="573" priority="607" operator="equal">
      <formula>0</formula>
    </cfRule>
    <cfRule type="expression" dxfId="572" priority="608">
      <formula>$C19&gt;$E$3</formula>
    </cfRule>
  </conditionalFormatting>
  <conditionalFormatting sqref="K19">
    <cfRule type="expression" dxfId="571" priority="604">
      <formula>$C19&lt;$E$3</formula>
    </cfRule>
  </conditionalFormatting>
  <conditionalFormatting sqref="K19">
    <cfRule type="expression" dxfId="570" priority="600">
      <formula>$C19=$E$3</formula>
    </cfRule>
    <cfRule type="expression" dxfId="569" priority="601">
      <formula>$C19&lt;$E$3</formula>
    </cfRule>
    <cfRule type="cellIs" dxfId="568" priority="602" operator="equal">
      <formula>0</formula>
    </cfRule>
    <cfRule type="expression" dxfId="567" priority="603">
      <formula>$C19&gt;$E$3</formula>
    </cfRule>
  </conditionalFormatting>
  <conditionalFormatting sqref="K19">
    <cfRule type="expression" dxfId="566" priority="599">
      <formula>$E19=""</formula>
    </cfRule>
  </conditionalFormatting>
  <conditionalFormatting sqref="K19">
    <cfRule type="expression" dxfId="565" priority="598">
      <formula>$C19&lt;$E$3</formula>
    </cfRule>
  </conditionalFormatting>
  <conditionalFormatting sqref="K19">
    <cfRule type="expression" dxfId="564" priority="597">
      <formula>$E19=""</formula>
    </cfRule>
  </conditionalFormatting>
  <conditionalFormatting sqref="K19">
    <cfRule type="expression" dxfId="563" priority="596">
      <formula>$E19=""</formula>
    </cfRule>
  </conditionalFormatting>
  <conditionalFormatting sqref="K19">
    <cfRule type="expression" dxfId="562" priority="595">
      <formula>$C19&lt;$E$3</formula>
    </cfRule>
  </conditionalFormatting>
  <conditionalFormatting sqref="K19">
    <cfRule type="expression" dxfId="561" priority="594">
      <formula>$E19=""</formula>
    </cfRule>
  </conditionalFormatting>
  <conditionalFormatting sqref="K19">
    <cfRule type="expression" dxfId="560" priority="593">
      <formula>$C19&lt;$E$3</formula>
    </cfRule>
  </conditionalFormatting>
  <conditionalFormatting sqref="K19">
    <cfRule type="expression" dxfId="559" priority="592">
      <formula>$E19=""</formula>
    </cfRule>
  </conditionalFormatting>
  <conditionalFormatting sqref="K19">
    <cfRule type="expression" dxfId="558" priority="591">
      <formula>$C19&lt;$E$3</formula>
    </cfRule>
  </conditionalFormatting>
  <conditionalFormatting sqref="K19">
    <cfRule type="expression" dxfId="557" priority="590">
      <formula>$E19=""</formula>
    </cfRule>
  </conditionalFormatting>
  <conditionalFormatting sqref="K19">
    <cfRule type="expression" dxfId="556" priority="589">
      <formula>$C19&lt;$E$3</formula>
    </cfRule>
  </conditionalFormatting>
  <conditionalFormatting sqref="K19">
    <cfRule type="expression" dxfId="555" priority="585">
      <formula>$C19=$E$3</formula>
    </cfRule>
    <cfRule type="expression" dxfId="554" priority="586">
      <formula>$C19&lt;$E$3</formula>
    </cfRule>
    <cfRule type="cellIs" dxfId="553" priority="587" operator="equal">
      <formula>0</formula>
    </cfRule>
    <cfRule type="expression" dxfId="552" priority="588">
      <formula>$C19&gt;$E$3</formula>
    </cfRule>
  </conditionalFormatting>
  <conditionalFormatting sqref="K19">
    <cfRule type="expression" dxfId="551" priority="584">
      <formula>$C19&lt;$E$3</formula>
    </cfRule>
  </conditionalFormatting>
  <conditionalFormatting sqref="K19">
    <cfRule type="expression" dxfId="550" priority="580">
      <formula>$C19=$E$3</formula>
    </cfRule>
    <cfRule type="expression" dxfId="549" priority="581">
      <formula>$C19&lt;$E$3</formula>
    </cfRule>
    <cfRule type="cellIs" dxfId="548" priority="582" operator="equal">
      <formula>0</formula>
    </cfRule>
    <cfRule type="expression" dxfId="547" priority="583">
      <formula>$C19&gt;$E$3</formula>
    </cfRule>
  </conditionalFormatting>
  <conditionalFormatting sqref="K19">
    <cfRule type="expression" dxfId="546" priority="579">
      <formula>$C19&lt;$E$3</formula>
    </cfRule>
  </conditionalFormatting>
  <conditionalFormatting sqref="K19">
    <cfRule type="expression" dxfId="545" priority="575">
      <formula>$C19=$E$3</formula>
    </cfRule>
    <cfRule type="expression" dxfId="544" priority="576">
      <formula>$C19&lt;$E$3</formula>
    </cfRule>
    <cfRule type="cellIs" dxfId="543" priority="577" operator="equal">
      <formula>0</formula>
    </cfRule>
    <cfRule type="expression" dxfId="542" priority="578">
      <formula>$C19&gt;$E$3</formula>
    </cfRule>
  </conditionalFormatting>
  <conditionalFormatting sqref="K19">
    <cfRule type="expression" dxfId="541" priority="574">
      <formula>$C19&lt;$E$3</formula>
    </cfRule>
  </conditionalFormatting>
  <conditionalFormatting sqref="K19">
    <cfRule type="expression" dxfId="540" priority="570">
      <formula>$C19=$E$3</formula>
    </cfRule>
    <cfRule type="expression" dxfId="539" priority="571">
      <formula>$C19&lt;$E$3</formula>
    </cfRule>
    <cfRule type="cellIs" dxfId="538" priority="572" operator="equal">
      <formula>0</formula>
    </cfRule>
    <cfRule type="expression" dxfId="537" priority="573">
      <formula>$C19&gt;$E$3</formula>
    </cfRule>
  </conditionalFormatting>
  <conditionalFormatting sqref="K19">
    <cfRule type="expression" dxfId="536" priority="569">
      <formula>$E19=""</formula>
    </cfRule>
  </conditionalFormatting>
  <conditionalFormatting sqref="K19">
    <cfRule type="expression" dxfId="535" priority="568">
      <formula>$C19&lt;$E$3</formula>
    </cfRule>
  </conditionalFormatting>
  <conditionalFormatting sqref="K19">
    <cfRule type="expression" dxfId="534" priority="567">
      <formula>$E19=""</formula>
    </cfRule>
  </conditionalFormatting>
  <conditionalFormatting sqref="K19">
    <cfRule type="expression" dxfId="533" priority="566">
      <formula>$E19=""</formula>
    </cfRule>
  </conditionalFormatting>
  <conditionalFormatting sqref="K19">
    <cfRule type="expression" dxfId="532" priority="565">
      <formula>$C19&lt;$E$3</formula>
    </cfRule>
  </conditionalFormatting>
  <conditionalFormatting sqref="K19">
    <cfRule type="expression" dxfId="531" priority="564">
      <formula>$E19=""</formula>
    </cfRule>
  </conditionalFormatting>
  <conditionalFormatting sqref="K19">
    <cfRule type="expression" dxfId="530" priority="563">
      <formula>$C19&lt;$E$3</formula>
    </cfRule>
  </conditionalFormatting>
  <conditionalFormatting sqref="K19">
    <cfRule type="expression" dxfId="529" priority="562">
      <formula>$E19=""</formula>
    </cfRule>
  </conditionalFormatting>
  <conditionalFormatting sqref="K19">
    <cfRule type="expression" dxfId="528" priority="561">
      <formula>$C19&lt;$E$3</formula>
    </cfRule>
  </conditionalFormatting>
  <conditionalFormatting sqref="K19">
    <cfRule type="expression" dxfId="527" priority="560">
      <formula>$E19=""</formula>
    </cfRule>
  </conditionalFormatting>
  <conditionalFormatting sqref="K14:K18">
    <cfRule type="expression" dxfId="526" priority="559">
      <formula>$C14&lt;$E$3</formula>
    </cfRule>
  </conditionalFormatting>
  <conditionalFormatting sqref="K14:K18">
    <cfRule type="expression" dxfId="525" priority="555">
      <formula>$C14=$E$3</formula>
    </cfRule>
    <cfRule type="expression" dxfId="524" priority="556">
      <formula>$C14&lt;$E$3</formula>
    </cfRule>
    <cfRule type="cellIs" dxfId="523" priority="557" operator="equal">
      <formula>0</formula>
    </cfRule>
    <cfRule type="expression" dxfId="522" priority="558">
      <formula>$C14&gt;$E$3</formula>
    </cfRule>
  </conditionalFormatting>
  <conditionalFormatting sqref="K14:K18">
    <cfRule type="expression" dxfId="521" priority="554">
      <formula>$C14&lt;$E$3</formula>
    </cfRule>
  </conditionalFormatting>
  <conditionalFormatting sqref="K14:K18">
    <cfRule type="expression" dxfId="520" priority="550">
      <formula>$C14=$E$3</formula>
    </cfRule>
    <cfRule type="expression" dxfId="519" priority="551">
      <formula>$C14&lt;$E$3</formula>
    </cfRule>
    <cfRule type="cellIs" dxfId="518" priority="552" operator="equal">
      <formula>0</formula>
    </cfRule>
    <cfRule type="expression" dxfId="517" priority="553">
      <formula>$C14&gt;$E$3</formula>
    </cfRule>
  </conditionalFormatting>
  <conditionalFormatting sqref="K14:K18">
    <cfRule type="expression" dxfId="516" priority="549">
      <formula>$C14&lt;$E$3</formula>
    </cfRule>
  </conditionalFormatting>
  <conditionalFormatting sqref="K14:K18">
    <cfRule type="expression" dxfId="515" priority="545">
      <formula>$C14=$E$3</formula>
    </cfRule>
    <cfRule type="expression" dxfId="514" priority="546">
      <formula>$C14&lt;$E$3</formula>
    </cfRule>
    <cfRule type="cellIs" dxfId="513" priority="547" operator="equal">
      <formula>0</formula>
    </cfRule>
    <cfRule type="expression" dxfId="512" priority="548">
      <formula>$C14&gt;$E$3</formula>
    </cfRule>
  </conditionalFormatting>
  <conditionalFormatting sqref="K14:K18">
    <cfRule type="expression" dxfId="511" priority="544">
      <formula>$C14&lt;$E$3</formula>
    </cfRule>
  </conditionalFormatting>
  <conditionalFormatting sqref="K14:K18">
    <cfRule type="expression" dxfId="510" priority="540">
      <formula>$C14=$E$3</formula>
    </cfRule>
    <cfRule type="expression" dxfId="509" priority="541">
      <formula>$C14&lt;$E$3</formula>
    </cfRule>
    <cfRule type="cellIs" dxfId="508" priority="542" operator="equal">
      <formula>0</formula>
    </cfRule>
    <cfRule type="expression" dxfId="507" priority="543">
      <formula>$C14&gt;$E$3</formula>
    </cfRule>
  </conditionalFormatting>
  <conditionalFormatting sqref="K14:K18">
    <cfRule type="expression" dxfId="506" priority="539">
      <formula>$E14=""</formula>
    </cfRule>
  </conditionalFormatting>
  <conditionalFormatting sqref="K14:K18">
    <cfRule type="expression" dxfId="505" priority="538">
      <formula>$C14&lt;$E$3</formula>
    </cfRule>
  </conditionalFormatting>
  <conditionalFormatting sqref="K14:K18">
    <cfRule type="expression" dxfId="504" priority="537">
      <formula>$E14=""</formula>
    </cfRule>
  </conditionalFormatting>
  <conditionalFormatting sqref="K14:K18">
    <cfRule type="expression" dxfId="503" priority="536">
      <formula>$E14=""</formula>
    </cfRule>
  </conditionalFormatting>
  <conditionalFormatting sqref="K14:K18">
    <cfRule type="expression" dxfId="502" priority="535">
      <formula>$C14&lt;$E$3</formula>
    </cfRule>
  </conditionalFormatting>
  <conditionalFormatting sqref="K14:K18">
    <cfRule type="expression" dxfId="501" priority="534">
      <formula>$E14=""</formula>
    </cfRule>
  </conditionalFormatting>
  <conditionalFormatting sqref="K14:K18">
    <cfRule type="expression" dxfId="500" priority="533">
      <formula>$C14&lt;$E$3</formula>
    </cfRule>
  </conditionalFormatting>
  <conditionalFormatting sqref="K14:K18">
    <cfRule type="expression" dxfId="499" priority="532">
      <formula>$E14=""</formula>
    </cfRule>
  </conditionalFormatting>
  <conditionalFormatting sqref="K14:K18">
    <cfRule type="expression" dxfId="498" priority="531">
      <formula>$C14&lt;$E$3</formula>
    </cfRule>
  </conditionalFormatting>
  <conditionalFormatting sqref="K14:K18">
    <cfRule type="expression" dxfId="497" priority="530">
      <formula>$E14=""</formula>
    </cfRule>
  </conditionalFormatting>
  <conditionalFormatting sqref="K14:K18">
    <cfRule type="expression" dxfId="496" priority="529">
      <formula>$C14&lt;$E$3</formula>
    </cfRule>
  </conditionalFormatting>
  <conditionalFormatting sqref="K14:K18">
    <cfRule type="expression" dxfId="495" priority="525">
      <formula>$C14=$E$3</formula>
    </cfRule>
    <cfRule type="expression" dxfId="494" priority="526">
      <formula>$C14&lt;$E$3</formula>
    </cfRule>
    <cfRule type="cellIs" dxfId="493" priority="527" operator="equal">
      <formula>0</formula>
    </cfRule>
    <cfRule type="expression" dxfId="492" priority="528">
      <formula>$C14&gt;$E$3</formula>
    </cfRule>
  </conditionalFormatting>
  <conditionalFormatting sqref="K14:K18">
    <cfRule type="expression" dxfId="491" priority="524">
      <formula>$C14&lt;$E$3</formula>
    </cfRule>
  </conditionalFormatting>
  <conditionalFormatting sqref="K14:K18">
    <cfRule type="expression" dxfId="490" priority="520">
      <formula>$C14=$E$3</formula>
    </cfRule>
    <cfRule type="expression" dxfId="489" priority="521">
      <formula>$C14&lt;$E$3</formula>
    </cfRule>
    <cfRule type="cellIs" dxfId="488" priority="522" operator="equal">
      <formula>0</formula>
    </cfRule>
    <cfRule type="expression" dxfId="487" priority="523">
      <formula>$C14&gt;$E$3</formula>
    </cfRule>
  </conditionalFormatting>
  <conditionalFormatting sqref="K14:K18">
    <cfRule type="expression" dxfId="486" priority="519">
      <formula>$C14&lt;$E$3</formula>
    </cfRule>
  </conditionalFormatting>
  <conditionalFormatting sqref="K14:K18">
    <cfRule type="expression" dxfId="485" priority="515">
      <formula>$C14=$E$3</formula>
    </cfRule>
    <cfRule type="expression" dxfId="484" priority="516">
      <formula>$C14&lt;$E$3</formula>
    </cfRule>
    <cfRule type="cellIs" dxfId="483" priority="517" operator="equal">
      <formula>0</formula>
    </cfRule>
    <cfRule type="expression" dxfId="482" priority="518">
      <formula>$C14&gt;$E$3</formula>
    </cfRule>
  </conditionalFormatting>
  <conditionalFormatting sqref="K14:K18">
    <cfRule type="expression" dxfId="481" priority="514">
      <formula>$C14&lt;$E$3</formula>
    </cfRule>
  </conditionalFormatting>
  <conditionalFormatting sqref="K14:K18">
    <cfRule type="expression" dxfId="480" priority="510">
      <formula>$C14=$E$3</formula>
    </cfRule>
    <cfRule type="expression" dxfId="479" priority="511">
      <formula>$C14&lt;$E$3</formula>
    </cfRule>
    <cfRule type="cellIs" dxfId="478" priority="512" operator="equal">
      <formula>0</formula>
    </cfRule>
    <cfRule type="expression" dxfId="477" priority="513">
      <formula>$C14&gt;$E$3</formula>
    </cfRule>
  </conditionalFormatting>
  <conditionalFormatting sqref="K14:K18">
    <cfRule type="expression" dxfId="476" priority="509">
      <formula>$E14=""</formula>
    </cfRule>
  </conditionalFormatting>
  <conditionalFormatting sqref="K14:K18">
    <cfRule type="expression" dxfId="475" priority="508">
      <formula>$C14&lt;$E$3</formula>
    </cfRule>
  </conditionalFormatting>
  <conditionalFormatting sqref="K14:K18">
    <cfRule type="expression" dxfId="474" priority="507">
      <formula>$E14=""</formula>
    </cfRule>
  </conditionalFormatting>
  <conditionalFormatting sqref="K14:K18">
    <cfRule type="expression" dxfId="473" priority="506">
      <formula>$E14=""</formula>
    </cfRule>
  </conditionalFormatting>
  <conditionalFormatting sqref="K14:K18">
    <cfRule type="expression" dxfId="472" priority="505">
      <formula>$C14&lt;$E$3</formula>
    </cfRule>
  </conditionalFormatting>
  <conditionalFormatting sqref="K14:K18">
    <cfRule type="expression" dxfId="471" priority="504">
      <formula>$E14=""</formula>
    </cfRule>
  </conditionalFormatting>
  <conditionalFormatting sqref="K14:K18">
    <cfRule type="expression" dxfId="470" priority="503">
      <formula>$C14&lt;$E$3</formula>
    </cfRule>
  </conditionalFormatting>
  <conditionalFormatting sqref="K14:K18">
    <cfRule type="expression" dxfId="469" priority="502">
      <formula>$E14=""</formula>
    </cfRule>
  </conditionalFormatting>
  <conditionalFormatting sqref="K14:K18">
    <cfRule type="expression" dxfId="468" priority="501">
      <formula>$C14&lt;$E$3</formula>
    </cfRule>
  </conditionalFormatting>
  <conditionalFormatting sqref="K14:K18">
    <cfRule type="expression" dxfId="467" priority="500">
      <formula>$E14=""</formula>
    </cfRule>
  </conditionalFormatting>
  <conditionalFormatting sqref="K14:K20">
    <cfRule type="expression" dxfId="466" priority="498">
      <formula>$C14&lt;$E$3</formula>
    </cfRule>
  </conditionalFormatting>
  <conditionalFormatting sqref="K14:K20">
    <cfRule type="expression" dxfId="465" priority="495">
      <formula>$C14=$E$3</formula>
    </cfRule>
    <cfRule type="expression" dxfId="464" priority="496">
      <formula>$C14&lt;$E$3</formula>
    </cfRule>
    <cfRule type="cellIs" dxfId="463" priority="497" operator="equal">
      <formula>0</formula>
    </cfRule>
    <cfRule type="expression" dxfId="462" priority="499">
      <formula>$C14&gt;$E$3</formula>
    </cfRule>
  </conditionalFormatting>
  <conditionalFormatting sqref="K14:K20">
    <cfRule type="expression" dxfId="461" priority="494">
      <formula>$E14=""</formula>
    </cfRule>
  </conditionalFormatting>
  <conditionalFormatting sqref="K14:K20">
    <cfRule type="expression" dxfId="460" priority="493">
      <formula>$E14=""</formula>
    </cfRule>
  </conditionalFormatting>
  <conditionalFormatting sqref="K14:K20">
    <cfRule type="expression" dxfId="459" priority="492">
      <formula>$E14=""</formula>
    </cfRule>
  </conditionalFormatting>
  <conditionalFormatting sqref="K23:K29">
    <cfRule type="cellIs" dxfId="458" priority="491" stopIfTrue="1" operator="lessThan">
      <formula>0</formula>
    </cfRule>
  </conditionalFormatting>
  <conditionalFormatting sqref="K23:K29">
    <cfRule type="expression" dxfId="457" priority="489">
      <formula>$C23&lt;$E$3</formula>
    </cfRule>
  </conditionalFormatting>
  <conditionalFormatting sqref="K23:K29">
    <cfRule type="expression" dxfId="456" priority="486">
      <formula>$C23=$E$3</formula>
    </cfRule>
    <cfRule type="expression" dxfId="455" priority="487">
      <formula>$C23&lt;$E$3</formula>
    </cfRule>
    <cfRule type="cellIs" dxfId="454" priority="488" operator="equal">
      <formula>0</formula>
    </cfRule>
    <cfRule type="expression" dxfId="453" priority="490">
      <formula>$C23&gt;$E$3</formula>
    </cfRule>
  </conditionalFormatting>
  <conditionalFormatting sqref="K23:K29">
    <cfRule type="expression" dxfId="452" priority="485">
      <formula>$E23=""</formula>
    </cfRule>
  </conditionalFormatting>
  <conditionalFormatting sqref="K23:K29">
    <cfRule type="expression" dxfId="451" priority="484">
      <formula>$E23=""</formula>
    </cfRule>
  </conditionalFormatting>
  <conditionalFormatting sqref="K23:K29">
    <cfRule type="expression" dxfId="450" priority="483">
      <formula>$E23=""</formula>
    </cfRule>
  </conditionalFormatting>
  <conditionalFormatting sqref="K28">
    <cfRule type="expression" dxfId="449" priority="482">
      <formula>$C28&lt;$E$3</formula>
    </cfRule>
  </conditionalFormatting>
  <conditionalFormatting sqref="K28">
    <cfRule type="expression" dxfId="448" priority="478">
      <formula>$C28=$E$3</formula>
    </cfRule>
    <cfRule type="expression" dxfId="447" priority="479">
      <formula>$C28&lt;$E$3</formula>
    </cfRule>
    <cfRule type="cellIs" dxfId="446" priority="480" operator="equal">
      <formula>0</formula>
    </cfRule>
    <cfRule type="expression" dxfId="445" priority="481">
      <formula>$C28&gt;$E$3</formula>
    </cfRule>
  </conditionalFormatting>
  <conditionalFormatting sqref="K28">
    <cfRule type="expression" dxfId="444" priority="477">
      <formula>$C28&lt;$E$3</formula>
    </cfRule>
  </conditionalFormatting>
  <conditionalFormatting sqref="K28">
    <cfRule type="expression" dxfId="443" priority="473">
      <formula>$C28=$E$3</formula>
    </cfRule>
    <cfRule type="expression" dxfId="442" priority="474">
      <formula>$C28&lt;$E$3</formula>
    </cfRule>
    <cfRule type="cellIs" dxfId="441" priority="475" operator="equal">
      <formula>0</formula>
    </cfRule>
    <cfRule type="expression" dxfId="440" priority="476">
      <formula>$C28&gt;$E$3</formula>
    </cfRule>
  </conditionalFormatting>
  <conditionalFormatting sqref="K28">
    <cfRule type="expression" dxfId="439" priority="472">
      <formula>$C28&lt;$E$3</formula>
    </cfRule>
  </conditionalFormatting>
  <conditionalFormatting sqref="K28">
    <cfRule type="expression" dxfId="438" priority="468">
      <formula>$C28=$E$3</formula>
    </cfRule>
    <cfRule type="expression" dxfId="437" priority="469">
      <formula>$C28&lt;$E$3</formula>
    </cfRule>
    <cfRule type="cellIs" dxfId="436" priority="470" operator="equal">
      <formula>0</formula>
    </cfRule>
    <cfRule type="expression" dxfId="435" priority="471">
      <formula>$C28&gt;$E$3</formula>
    </cfRule>
  </conditionalFormatting>
  <conditionalFormatting sqref="K28">
    <cfRule type="expression" dxfId="434" priority="467">
      <formula>$C28&lt;$E$3</formula>
    </cfRule>
  </conditionalFormatting>
  <conditionalFormatting sqref="K28">
    <cfRule type="expression" dxfId="433" priority="463">
      <formula>$C28=$E$3</formula>
    </cfRule>
    <cfRule type="expression" dxfId="432" priority="464">
      <formula>$C28&lt;$E$3</formula>
    </cfRule>
    <cfRule type="cellIs" dxfId="431" priority="465" operator="equal">
      <formula>0</formula>
    </cfRule>
    <cfRule type="expression" dxfId="430" priority="466">
      <formula>$C28&gt;$E$3</formula>
    </cfRule>
  </conditionalFormatting>
  <conditionalFormatting sqref="K28">
    <cfRule type="expression" dxfId="429" priority="462">
      <formula>$E28=""</formula>
    </cfRule>
  </conditionalFormatting>
  <conditionalFormatting sqref="K28">
    <cfRule type="expression" dxfId="428" priority="461">
      <formula>$C28&lt;$E$3</formula>
    </cfRule>
  </conditionalFormatting>
  <conditionalFormatting sqref="K28">
    <cfRule type="expression" dxfId="427" priority="460">
      <formula>$E28=""</formula>
    </cfRule>
  </conditionalFormatting>
  <conditionalFormatting sqref="K28">
    <cfRule type="expression" dxfId="426" priority="459">
      <formula>$E28=""</formula>
    </cfRule>
  </conditionalFormatting>
  <conditionalFormatting sqref="K28">
    <cfRule type="expression" dxfId="425" priority="458">
      <formula>$C28&lt;$E$3</formula>
    </cfRule>
  </conditionalFormatting>
  <conditionalFormatting sqref="K28">
    <cfRule type="expression" dxfId="424" priority="457">
      <formula>$E28=""</formula>
    </cfRule>
  </conditionalFormatting>
  <conditionalFormatting sqref="K28">
    <cfRule type="expression" dxfId="423" priority="456">
      <formula>$C28&lt;$E$3</formula>
    </cfRule>
  </conditionalFormatting>
  <conditionalFormatting sqref="K28">
    <cfRule type="expression" dxfId="422" priority="455">
      <formula>$E28=""</formula>
    </cfRule>
  </conditionalFormatting>
  <conditionalFormatting sqref="K28">
    <cfRule type="expression" dxfId="421" priority="454">
      <formula>$C28&lt;$E$3</formula>
    </cfRule>
  </conditionalFormatting>
  <conditionalFormatting sqref="K28">
    <cfRule type="expression" dxfId="420" priority="453">
      <formula>$E28=""</formula>
    </cfRule>
  </conditionalFormatting>
  <conditionalFormatting sqref="K28">
    <cfRule type="expression" dxfId="419" priority="452">
      <formula>$C28&lt;$E$3</formula>
    </cfRule>
  </conditionalFormatting>
  <conditionalFormatting sqref="K28">
    <cfRule type="expression" dxfId="418" priority="448">
      <formula>$C28=$E$3</formula>
    </cfRule>
    <cfRule type="expression" dxfId="417" priority="449">
      <formula>$C28&lt;$E$3</formula>
    </cfRule>
    <cfRule type="cellIs" dxfId="416" priority="450" operator="equal">
      <formula>0</formula>
    </cfRule>
    <cfRule type="expression" dxfId="415" priority="451">
      <formula>$C28&gt;$E$3</formula>
    </cfRule>
  </conditionalFormatting>
  <conditionalFormatting sqref="K28">
    <cfRule type="expression" dxfId="414" priority="447">
      <formula>$C28&lt;$E$3</formula>
    </cfRule>
  </conditionalFormatting>
  <conditionalFormatting sqref="K28">
    <cfRule type="expression" dxfId="413" priority="443">
      <formula>$C28=$E$3</formula>
    </cfRule>
    <cfRule type="expression" dxfId="412" priority="444">
      <formula>$C28&lt;$E$3</formula>
    </cfRule>
    <cfRule type="cellIs" dxfId="411" priority="445" operator="equal">
      <formula>0</formula>
    </cfRule>
    <cfRule type="expression" dxfId="410" priority="446">
      <formula>$C28&gt;$E$3</formula>
    </cfRule>
  </conditionalFormatting>
  <conditionalFormatting sqref="K28">
    <cfRule type="expression" dxfId="409" priority="442">
      <formula>$C28&lt;$E$3</formula>
    </cfRule>
  </conditionalFormatting>
  <conditionalFormatting sqref="K28">
    <cfRule type="expression" dxfId="408" priority="438">
      <formula>$C28=$E$3</formula>
    </cfRule>
    <cfRule type="expression" dxfId="407" priority="439">
      <formula>$C28&lt;$E$3</formula>
    </cfRule>
    <cfRule type="cellIs" dxfId="406" priority="440" operator="equal">
      <formula>0</formula>
    </cfRule>
    <cfRule type="expression" dxfId="405" priority="441">
      <formula>$C28&gt;$E$3</formula>
    </cfRule>
  </conditionalFormatting>
  <conditionalFormatting sqref="K28">
    <cfRule type="expression" dxfId="404" priority="437">
      <formula>$C28&lt;$E$3</formula>
    </cfRule>
  </conditionalFormatting>
  <conditionalFormatting sqref="K28">
    <cfRule type="expression" dxfId="403" priority="433">
      <formula>$C28=$E$3</formula>
    </cfRule>
    <cfRule type="expression" dxfId="402" priority="434">
      <formula>$C28&lt;$E$3</formula>
    </cfRule>
    <cfRule type="cellIs" dxfId="401" priority="435" operator="equal">
      <formula>0</formula>
    </cfRule>
    <cfRule type="expression" dxfId="400" priority="436">
      <formula>$C28&gt;$E$3</formula>
    </cfRule>
  </conditionalFormatting>
  <conditionalFormatting sqref="K28">
    <cfRule type="expression" dxfId="399" priority="432">
      <formula>$E28=""</formula>
    </cfRule>
  </conditionalFormatting>
  <conditionalFormatting sqref="K28">
    <cfRule type="expression" dxfId="398" priority="431">
      <formula>$C28&lt;$E$3</formula>
    </cfRule>
  </conditionalFormatting>
  <conditionalFormatting sqref="K28">
    <cfRule type="expression" dxfId="397" priority="430">
      <formula>$E28=""</formula>
    </cfRule>
  </conditionalFormatting>
  <conditionalFormatting sqref="K28">
    <cfRule type="expression" dxfId="396" priority="429">
      <formula>$E28=""</formula>
    </cfRule>
  </conditionalFormatting>
  <conditionalFormatting sqref="K28">
    <cfRule type="expression" dxfId="395" priority="428">
      <formula>$C28&lt;$E$3</formula>
    </cfRule>
  </conditionalFormatting>
  <conditionalFormatting sqref="K28">
    <cfRule type="expression" dxfId="394" priority="427">
      <formula>$E28=""</formula>
    </cfRule>
  </conditionalFormatting>
  <conditionalFormatting sqref="K28">
    <cfRule type="expression" dxfId="393" priority="426">
      <formula>$C28&lt;$E$3</formula>
    </cfRule>
  </conditionalFormatting>
  <conditionalFormatting sqref="K28">
    <cfRule type="expression" dxfId="392" priority="425">
      <formula>$E28=""</formula>
    </cfRule>
  </conditionalFormatting>
  <conditionalFormatting sqref="K28">
    <cfRule type="expression" dxfId="391" priority="424">
      <formula>$C28&lt;$E$3</formula>
    </cfRule>
  </conditionalFormatting>
  <conditionalFormatting sqref="K28">
    <cfRule type="expression" dxfId="390" priority="423">
      <formula>$E28=""</formula>
    </cfRule>
  </conditionalFormatting>
  <conditionalFormatting sqref="K23:K27">
    <cfRule type="expression" dxfId="389" priority="422">
      <formula>$C23&lt;$E$3</formula>
    </cfRule>
  </conditionalFormatting>
  <conditionalFormatting sqref="K23:K27">
    <cfRule type="expression" dxfId="388" priority="418">
      <formula>$C23=$E$3</formula>
    </cfRule>
    <cfRule type="expression" dxfId="387" priority="419">
      <formula>$C23&lt;$E$3</formula>
    </cfRule>
    <cfRule type="cellIs" dxfId="386" priority="420" operator="equal">
      <formula>0</formula>
    </cfRule>
    <cfRule type="expression" dxfId="385" priority="421">
      <formula>$C23&gt;$E$3</formula>
    </cfRule>
  </conditionalFormatting>
  <conditionalFormatting sqref="K23:K27">
    <cfRule type="expression" dxfId="384" priority="417">
      <formula>$C23&lt;$E$3</formula>
    </cfRule>
  </conditionalFormatting>
  <conditionalFormatting sqref="K23:K27">
    <cfRule type="expression" dxfId="383" priority="413">
      <formula>$C23=$E$3</formula>
    </cfRule>
    <cfRule type="expression" dxfId="382" priority="414">
      <formula>$C23&lt;$E$3</formula>
    </cfRule>
    <cfRule type="cellIs" dxfId="381" priority="415" operator="equal">
      <formula>0</formula>
    </cfRule>
    <cfRule type="expression" dxfId="380" priority="416">
      <formula>$C23&gt;$E$3</formula>
    </cfRule>
  </conditionalFormatting>
  <conditionalFormatting sqref="K23:K27">
    <cfRule type="expression" dxfId="379" priority="412">
      <formula>$C23&lt;$E$3</formula>
    </cfRule>
  </conditionalFormatting>
  <conditionalFormatting sqref="K23:K27">
    <cfRule type="expression" dxfId="378" priority="408">
      <formula>$C23=$E$3</formula>
    </cfRule>
    <cfRule type="expression" dxfId="377" priority="409">
      <formula>$C23&lt;$E$3</formula>
    </cfRule>
    <cfRule type="cellIs" dxfId="376" priority="410" operator="equal">
      <formula>0</formula>
    </cfRule>
    <cfRule type="expression" dxfId="375" priority="411">
      <formula>$C23&gt;$E$3</formula>
    </cfRule>
  </conditionalFormatting>
  <conditionalFormatting sqref="K23:K27">
    <cfRule type="expression" dxfId="374" priority="407">
      <formula>$C23&lt;$E$3</formula>
    </cfRule>
  </conditionalFormatting>
  <conditionalFormatting sqref="K23:K27">
    <cfRule type="expression" dxfId="373" priority="403">
      <formula>$C23=$E$3</formula>
    </cfRule>
    <cfRule type="expression" dxfId="372" priority="404">
      <formula>$C23&lt;$E$3</formula>
    </cfRule>
    <cfRule type="cellIs" dxfId="371" priority="405" operator="equal">
      <formula>0</formula>
    </cfRule>
    <cfRule type="expression" dxfId="370" priority="406">
      <formula>$C23&gt;$E$3</formula>
    </cfRule>
  </conditionalFormatting>
  <conditionalFormatting sqref="K23:K27">
    <cfRule type="expression" dxfId="369" priority="402">
      <formula>$E23=""</formula>
    </cfRule>
  </conditionalFormatting>
  <conditionalFormatting sqref="K23:K27">
    <cfRule type="expression" dxfId="368" priority="401">
      <formula>$C23&lt;$E$3</formula>
    </cfRule>
  </conditionalFormatting>
  <conditionalFormatting sqref="K23:K27">
    <cfRule type="expression" dxfId="367" priority="400">
      <formula>$E23=""</formula>
    </cfRule>
  </conditionalFormatting>
  <conditionalFormatting sqref="K23:K27">
    <cfRule type="expression" dxfId="366" priority="399">
      <formula>$E23=""</formula>
    </cfRule>
  </conditionalFormatting>
  <conditionalFormatting sqref="K23:K27">
    <cfRule type="expression" dxfId="365" priority="398">
      <formula>$C23&lt;$E$3</formula>
    </cfRule>
  </conditionalFormatting>
  <conditionalFormatting sqref="K23:K27">
    <cfRule type="expression" dxfId="364" priority="397">
      <formula>$E23=""</formula>
    </cfRule>
  </conditionalFormatting>
  <conditionalFormatting sqref="K23:K27">
    <cfRule type="expression" dxfId="363" priority="396">
      <formula>$C23&lt;$E$3</formula>
    </cfRule>
  </conditionalFormatting>
  <conditionalFormatting sqref="K23:K27">
    <cfRule type="expression" dxfId="362" priority="395">
      <formula>$E23=""</formula>
    </cfRule>
  </conditionalFormatting>
  <conditionalFormatting sqref="K23:K27">
    <cfRule type="expression" dxfId="361" priority="394">
      <formula>$C23&lt;$E$3</formula>
    </cfRule>
  </conditionalFormatting>
  <conditionalFormatting sqref="K23:K27">
    <cfRule type="expression" dxfId="360" priority="393">
      <formula>$E23=""</formula>
    </cfRule>
  </conditionalFormatting>
  <conditionalFormatting sqref="K23:K27">
    <cfRule type="expression" dxfId="359" priority="392">
      <formula>$C23&lt;$E$3</formula>
    </cfRule>
  </conditionalFormatting>
  <conditionalFormatting sqref="K23:K27">
    <cfRule type="expression" dxfId="358" priority="388">
      <formula>$C23=$E$3</formula>
    </cfRule>
    <cfRule type="expression" dxfId="357" priority="389">
      <formula>$C23&lt;$E$3</formula>
    </cfRule>
    <cfRule type="cellIs" dxfId="356" priority="390" operator="equal">
      <formula>0</formula>
    </cfRule>
    <cfRule type="expression" dxfId="355" priority="391">
      <formula>$C23&gt;$E$3</formula>
    </cfRule>
  </conditionalFormatting>
  <conditionalFormatting sqref="K23:K27">
    <cfRule type="expression" dxfId="354" priority="387">
      <formula>$C23&lt;$E$3</formula>
    </cfRule>
  </conditionalFormatting>
  <conditionalFormatting sqref="K23:K27">
    <cfRule type="expression" dxfId="353" priority="383">
      <formula>$C23=$E$3</formula>
    </cfRule>
    <cfRule type="expression" dxfId="352" priority="384">
      <formula>$C23&lt;$E$3</formula>
    </cfRule>
    <cfRule type="cellIs" dxfId="351" priority="385" operator="equal">
      <formula>0</formula>
    </cfRule>
    <cfRule type="expression" dxfId="350" priority="386">
      <formula>$C23&gt;$E$3</formula>
    </cfRule>
  </conditionalFormatting>
  <conditionalFormatting sqref="K23:K27">
    <cfRule type="expression" dxfId="349" priority="382">
      <formula>$C23&lt;$E$3</formula>
    </cfRule>
  </conditionalFormatting>
  <conditionalFormatting sqref="K23:K27">
    <cfRule type="expression" dxfId="348" priority="378">
      <formula>$C23=$E$3</formula>
    </cfRule>
    <cfRule type="expression" dxfId="347" priority="379">
      <formula>$C23&lt;$E$3</formula>
    </cfRule>
    <cfRule type="cellIs" dxfId="346" priority="380" operator="equal">
      <formula>0</formula>
    </cfRule>
    <cfRule type="expression" dxfId="345" priority="381">
      <formula>$C23&gt;$E$3</formula>
    </cfRule>
  </conditionalFormatting>
  <conditionalFormatting sqref="K23:K27">
    <cfRule type="expression" dxfId="344" priority="377">
      <formula>$C23&lt;$E$3</formula>
    </cfRule>
  </conditionalFormatting>
  <conditionalFormatting sqref="K23:K27">
    <cfRule type="expression" dxfId="343" priority="373">
      <formula>$C23=$E$3</formula>
    </cfRule>
    <cfRule type="expression" dxfId="342" priority="374">
      <formula>$C23&lt;$E$3</formula>
    </cfRule>
    <cfRule type="cellIs" dxfId="341" priority="375" operator="equal">
      <formula>0</formula>
    </cfRule>
    <cfRule type="expression" dxfId="340" priority="376">
      <formula>$C23&gt;$E$3</formula>
    </cfRule>
  </conditionalFormatting>
  <conditionalFormatting sqref="K23:K27">
    <cfRule type="expression" dxfId="339" priority="372">
      <formula>$E23=""</formula>
    </cfRule>
  </conditionalFormatting>
  <conditionalFormatting sqref="K23:K27">
    <cfRule type="expression" dxfId="338" priority="371">
      <formula>$C23&lt;$E$3</formula>
    </cfRule>
  </conditionalFormatting>
  <conditionalFormatting sqref="K23:K27">
    <cfRule type="expression" dxfId="337" priority="370">
      <formula>$E23=""</formula>
    </cfRule>
  </conditionalFormatting>
  <conditionalFormatting sqref="K23:K27">
    <cfRule type="expression" dxfId="336" priority="369">
      <formula>$E23=""</formula>
    </cfRule>
  </conditionalFormatting>
  <conditionalFormatting sqref="K23:K27">
    <cfRule type="expression" dxfId="335" priority="368">
      <formula>$C23&lt;$E$3</formula>
    </cfRule>
  </conditionalFormatting>
  <conditionalFormatting sqref="K23:K27">
    <cfRule type="expression" dxfId="334" priority="367">
      <formula>$E23=""</formula>
    </cfRule>
  </conditionalFormatting>
  <conditionalFormatting sqref="K23:K27">
    <cfRule type="expression" dxfId="333" priority="366">
      <formula>$C23&lt;$E$3</formula>
    </cfRule>
  </conditionalFormatting>
  <conditionalFormatting sqref="K23:K27">
    <cfRule type="expression" dxfId="332" priority="365">
      <formula>$E23=""</formula>
    </cfRule>
  </conditionalFormatting>
  <conditionalFormatting sqref="K23:K27">
    <cfRule type="expression" dxfId="331" priority="364">
      <formula>$C23&lt;$E$3</formula>
    </cfRule>
  </conditionalFormatting>
  <conditionalFormatting sqref="K23:K27">
    <cfRule type="expression" dxfId="330" priority="363">
      <formula>$E23=""</formula>
    </cfRule>
  </conditionalFormatting>
  <conditionalFormatting sqref="K23:K29">
    <cfRule type="expression" dxfId="329" priority="361">
      <formula>$C23&lt;$E$3</formula>
    </cfRule>
  </conditionalFormatting>
  <conditionalFormatting sqref="K23:K29">
    <cfRule type="expression" dxfId="328" priority="358">
      <formula>$C23=$E$3</formula>
    </cfRule>
    <cfRule type="expression" dxfId="327" priority="359">
      <formula>$C23&lt;$E$3</formula>
    </cfRule>
    <cfRule type="cellIs" dxfId="326" priority="360" operator="equal">
      <formula>0</formula>
    </cfRule>
    <cfRule type="expression" dxfId="325" priority="362">
      <formula>$C23&gt;$E$3</formula>
    </cfRule>
  </conditionalFormatting>
  <conditionalFormatting sqref="K23:K29">
    <cfRule type="expression" dxfId="324" priority="357">
      <formula>$E23=""</formula>
    </cfRule>
  </conditionalFormatting>
  <conditionalFormatting sqref="K23:K29">
    <cfRule type="expression" dxfId="323" priority="356">
      <formula>$E23=""</formula>
    </cfRule>
  </conditionalFormatting>
  <conditionalFormatting sqref="K23:K29">
    <cfRule type="expression" dxfId="322" priority="355">
      <formula>$E23=""</formula>
    </cfRule>
  </conditionalFormatting>
  <conditionalFormatting sqref="K32:K38">
    <cfRule type="cellIs" dxfId="321" priority="354" stopIfTrue="1" operator="lessThan">
      <formula>0</formula>
    </cfRule>
  </conditionalFormatting>
  <conditionalFormatting sqref="K32:K38">
    <cfRule type="expression" dxfId="320" priority="352">
      <formula>$C32&lt;$E$3</formula>
    </cfRule>
  </conditionalFormatting>
  <conditionalFormatting sqref="K32:K38">
    <cfRule type="expression" dxfId="319" priority="349">
      <formula>$C32=$E$3</formula>
    </cfRule>
    <cfRule type="expression" dxfId="318" priority="350">
      <formula>$C32&lt;$E$3</formula>
    </cfRule>
    <cfRule type="cellIs" dxfId="317" priority="351" operator="equal">
      <formula>0</formula>
    </cfRule>
    <cfRule type="expression" dxfId="316" priority="353">
      <formula>$C32&gt;$E$3</formula>
    </cfRule>
  </conditionalFormatting>
  <conditionalFormatting sqref="K32:K38">
    <cfRule type="expression" dxfId="315" priority="348">
      <formula>$E32=""</formula>
    </cfRule>
  </conditionalFormatting>
  <conditionalFormatting sqref="K32:K38">
    <cfRule type="expression" dxfId="314" priority="347">
      <formula>$E32=""</formula>
    </cfRule>
  </conditionalFormatting>
  <conditionalFormatting sqref="K32:K38">
    <cfRule type="expression" dxfId="313" priority="346">
      <formula>$E32=""</formula>
    </cfRule>
  </conditionalFormatting>
  <conditionalFormatting sqref="K37">
    <cfRule type="expression" dxfId="312" priority="345">
      <formula>$C37&lt;$E$3</formula>
    </cfRule>
  </conditionalFormatting>
  <conditionalFormatting sqref="K37">
    <cfRule type="expression" dxfId="311" priority="341">
      <formula>$C37=$E$3</formula>
    </cfRule>
    <cfRule type="expression" dxfId="310" priority="342">
      <formula>$C37&lt;$E$3</formula>
    </cfRule>
    <cfRule type="cellIs" dxfId="309" priority="343" operator="equal">
      <formula>0</formula>
    </cfRule>
    <cfRule type="expression" dxfId="308" priority="344">
      <formula>$C37&gt;$E$3</formula>
    </cfRule>
  </conditionalFormatting>
  <conditionalFormatting sqref="K37">
    <cfRule type="expression" dxfId="307" priority="340">
      <formula>$C37&lt;$E$3</formula>
    </cfRule>
  </conditionalFormatting>
  <conditionalFormatting sqref="K37">
    <cfRule type="expression" dxfId="306" priority="336">
      <formula>$C37=$E$3</formula>
    </cfRule>
    <cfRule type="expression" dxfId="305" priority="337">
      <formula>$C37&lt;$E$3</formula>
    </cfRule>
    <cfRule type="cellIs" dxfId="304" priority="338" operator="equal">
      <formula>0</formula>
    </cfRule>
    <cfRule type="expression" dxfId="303" priority="339">
      <formula>$C37&gt;$E$3</formula>
    </cfRule>
  </conditionalFormatting>
  <conditionalFormatting sqref="K37">
    <cfRule type="expression" dxfId="302" priority="325">
      <formula>$E37=""</formula>
    </cfRule>
  </conditionalFormatting>
  <conditionalFormatting sqref="K37">
    <cfRule type="expression" dxfId="301" priority="324">
      <formula>$C37&lt;$E$3</formula>
    </cfRule>
  </conditionalFormatting>
  <conditionalFormatting sqref="K37">
    <cfRule type="expression" dxfId="300" priority="323">
      <formula>$E37=""</formula>
    </cfRule>
  </conditionalFormatting>
  <conditionalFormatting sqref="K37">
    <cfRule type="expression" dxfId="299" priority="322">
      <formula>$E37=""</formula>
    </cfRule>
  </conditionalFormatting>
  <conditionalFormatting sqref="K37">
    <cfRule type="expression" dxfId="298" priority="321">
      <formula>$C37&lt;$E$3</formula>
    </cfRule>
  </conditionalFormatting>
  <conditionalFormatting sqref="K37">
    <cfRule type="expression" dxfId="297" priority="320">
      <formula>$E37=""</formula>
    </cfRule>
  </conditionalFormatting>
  <conditionalFormatting sqref="K37">
    <cfRule type="expression" dxfId="296" priority="319">
      <formula>$C37&lt;$E$3</formula>
    </cfRule>
  </conditionalFormatting>
  <conditionalFormatting sqref="K37">
    <cfRule type="expression" dxfId="295" priority="318">
      <formula>$E37=""</formula>
    </cfRule>
  </conditionalFormatting>
  <conditionalFormatting sqref="K37">
    <cfRule type="expression" dxfId="294" priority="317">
      <formula>$C37&lt;$E$3</formula>
    </cfRule>
  </conditionalFormatting>
  <conditionalFormatting sqref="K37">
    <cfRule type="expression" dxfId="293" priority="316">
      <formula>$E37=""</formula>
    </cfRule>
  </conditionalFormatting>
  <conditionalFormatting sqref="K37">
    <cfRule type="expression" dxfId="292" priority="315">
      <formula>$C37&lt;$E$3</formula>
    </cfRule>
  </conditionalFormatting>
  <conditionalFormatting sqref="K37">
    <cfRule type="expression" dxfId="291" priority="311">
      <formula>$C37=$E$3</formula>
    </cfRule>
    <cfRule type="expression" dxfId="290" priority="312">
      <formula>$C37&lt;$E$3</formula>
    </cfRule>
    <cfRule type="cellIs" dxfId="289" priority="313" operator="equal">
      <formula>0</formula>
    </cfRule>
    <cfRule type="expression" dxfId="288" priority="314">
      <formula>$C37&gt;$E$3</formula>
    </cfRule>
  </conditionalFormatting>
  <conditionalFormatting sqref="K37">
    <cfRule type="expression" dxfId="287" priority="310">
      <formula>$C37&lt;$E$3</formula>
    </cfRule>
  </conditionalFormatting>
  <conditionalFormatting sqref="K37">
    <cfRule type="expression" dxfId="286" priority="306">
      <formula>$C37=$E$3</formula>
    </cfRule>
    <cfRule type="expression" dxfId="285" priority="307">
      <formula>$C37&lt;$E$3</formula>
    </cfRule>
    <cfRule type="cellIs" dxfId="284" priority="308" operator="equal">
      <formula>0</formula>
    </cfRule>
    <cfRule type="expression" dxfId="283" priority="309">
      <formula>$C37&gt;$E$3</formula>
    </cfRule>
  </conditionalFormatting>
  <conditionalFormatting sqref="K37">
    <cfRule type="expression" dxfId="282" priority="295">
      <formula>$E37=""</formula>
    </cfRule>
  </conditionalFormatting>
  <conditionalFormatting sqref="K37">
    <cfRule type="expression" dxfId="281" priority="294">
      <formula>$C37&lt;$E$3</formula>
    </cfRule>
  </conditionalFormatting>
  <conditionalFormatting sqref="K37">
    <cfRule type="expression" dxfId="280" priority="293">
      <formula>$E37=""</formula>
    </cfRule>
  </conditionalFormatting>
  <conditionalFormatting sqref="K37">
    <cfRule type="expression" dxfId="279" priority="292">
      <formula>$E37=""</formula>
    </cfRule>
  </conditionalFormatting>
  <conditionalFormatting sqref="K37">
    <cfRule type="expression" dxfId="278" priority="291">
      <formula>$C37&lt;$E$3</formula>
    </cfRule>
  </conditionalFormatting>
  <conditionalFormatting sqref="K37">
    <cfRule type="expression" dxfId="277" priority="290">
      <formula>$E37=""</formula>
    </cfRule>
  </conditionalFormatting>
  <conditionalFormatting sqref="K37">
    <cfRule type="expression" dxfId="276" priority="289">
      <formula>$C37&lt;$E$3</formula>
    </cfRule>
  </conditionalFormatting>
  <conditionalFormatting sqref="K37">
    <cfRule type="expression" dxfId="275" priority="288">
      <formula>$E37=""</formula>
    </cfRule>
  </conditionalFormatting>
  <conditionalFormatting sqref="K37">
    <cfRule type="expression" dxfId="274" priority="287">
      <formula>$C37&lt;$E$3</formula>
    </cfRule>
  </conditionalFormatting>
  <conditionalFormatting sqref="K37">
    <cfRule type="expression" dxfId="273" priority="286">
      <formula>$E37=""</formula>
    </cfRule>
  </conditionalFormatting>
  <conditionalFormatting sqref="K32:K36">
    <cfRule type="expression" dxfId="272" priority="285">
      <formula>$C32&lt;$E$3</formula>
    </cfRule>
  </conditionalFormatting>
  <conditionalFormatting sqref="K32:K36">
    <cfRule type="expression" dxfId="271" priority="281">
      <formula>$C32=$E$3</formula>
    </cfRule>
    <cfRule type="expression" dxfId="270" priority="282">
      <formula>$C32&lt;$E$3</formula>
    </cfRule>
    <cfRule type="cellIs" dxfId="269" priority="283" operator="equal">
      <formula>0</formula>
    </cfRule>
    <cfRule type="expression" dxfId="268" priority="284">
      <formula>$C32&gt;$E$3</formula>
    </cfRule>
  </conditionalFormatting>
  <conditionalFormatting sqref="K32:K36">
    <cfRule type="expression" dxfId="267" priority="280">
      <formula>$C32&lt;$E$3</formula>
    </cfRule>
  </conditionalFormatting>
  <conditionalFormatting sqref="K32:K36">
    <cfRule type="expression" dxfId="266" priority="276">
      <formula>$C32=$E$3</formula>
    </cfRule>
    <cfRule type="expression" dxfId="265" priority="277">
      <formula>$C32&lt;$E$3</formula>
    </cfRule>
    <cfRule type="cellIs" dxfId="264" priority="278" operator="equal">
      <formula>0</formula>
    </cfRule>
    <cfRule type="expression" dxfId="263" priority="279">
      <formula>$C32&gt;$E$3</formula>
    </cfRule>
  </conditionalFormatting>
  <conditionalFormatting sqref="K32:K36">
    <cfRule type="expression" dxfId="262" priority="265">
      <formula>$E32=""</formula>
    </cfRule>
  </conditionalFormatting>
  <conditionalFormatting sqref="K32:K36">
    <cfRule type="expression" dxfId="261" priority="264">
      <formula>$C32&lt;$E$3</formula>
    </cfRule>
  </conditionalFormatting>
  <conditionalFormatting sqref="K32:K36">
    <cfRule type="expression" dxfId="260" priority="263">
      <formula>$E32=""</formula>
    </cfRule>
  </conditionalFormatting>
  <conditionalFormatting sqref="K32:K36">
    <cfRule type="expression" dxfId="259" priority="262">
      <formula>$E32=""</formula>
    </cfRule>
  </conditionalFormatting>
  <conditionalFormatting sqref="K32:K36">
    <cfRule type="expression" dxfId="258" priority="261">
      <formula>$C32&lt;$E$3</formula>
    </cfRule>
  </conditionalFormatting>
  <conditionalFormatting sqref="K32:K36">
    <cfRule type="expression" dxfId="257" priority="260">
      <formula>$E32=""</formula>
    </cfRule>
  </conditionalFormatting>
  <conditionalFormatting sqref="K32:K36">
    <cfRule type="expression" dxfId="256" priority="259">
      <formula>$C32&lt;$E$3</formula>
    </cfRule>
  </conditionalFormatting>
  <conditionalFormatting sqref="K32:K36">
    <cfRule type="expression" dxfId="255" priority="258">
      <formula>$E32=""</formula>
    </cfRule>
  </conditionalFormatting>
  <conditionalFormatting sqref="K32:K36">
    <cfRule type="expression" dxfId="254" priority="257">
      <formula>$C32&lt;$E$3</formula>
    </cfRule>
  </conditionalFormatting>
  <conditionalFormatting sqref="K32:K36">
    <cfRule type="expression" dxfId="253" priority="256">
      <formula>$E32=""</formula>
    </cfRule>
  </conditionalFormatting>
  <conditionalFormatting sqref="K32:K36">
    <cfRule type="expression" dxfId="252" priority="255">
      <formula>$C32&lt;$E$3</formula>
    </cfRule>
  </conditionalFormatting>
  <conditionalFormatting sqref="K32:K36">
    <cfRule type="expression" dxfId="251" priority="251">
      <formula>$C32=$E$3</formula>
    </cfRule>
    <cfRule type="expression" dxfId="250" priority="252">
      <formula>$C32&lt;$E$3</formula>
    </cfRule>
    <cfRule type="cellIs" dxfId="249" priority="253" operator="equal">
      <formula>0</formula>
    </cfRule>
    <cfRule type="expression" dxfId="248" priority="254">
      <formula>$C32&gt;$E$3</formula>
    </cfRule>
  </conditionalFormatting>
  <conditionalFormatting sqref="K32:K36">
    <cfRule type="expression" dxfId="247" priority="250">
      <formula>$C32&lt;$E$3</formula>
    </cfRule>
  </conditionalFormatting>
  <conditionalFormatting sqref="K32:K36">
    <cfRule type="expression" dxfId="246" priority="246">
      <formula>$C32=$E$3</formula>
    </cfRule>
    <cfRule type="expression" dxfId="245" priority="247">
      <formula>$C32&lt;$E$3</formula>
    </cfRule>
    <cfRule type="cellIs" dxfId="244" priority="248" operator="equal">
      <formula>0</formula>
    </cfRule>
    <cfRule type="expression" dxfId="243" priority="249">
      <formula>$C32&gt;$E$3</formula>
    </cfRule>
  </conditionalFormatting>
  <conditionalFormatting sqref="K32:K36">
    <cfRule type="expression" dxfId="242" priority="245">
      <formula>$C32&lt;$E$3</formula>
    </cfRule>
  </conditionalFormatting>
  <conditionalFormatting sqref="K32:K36">
    <cfRule type="expression" dxfId="241" priority="241">
      <formula>$C32=$E$3</formula>
    </cfRule>
    <cfRule type="expression" dxfId="240" priority="242">
      <formula>$C32&lt;$E$3</formula>
    </cfRule>
    <cfRule type="cellIs" dxfId="239" priority="243" operator="equal">
      <formula>0</formula>
    </cfRule>
    <cfRule type="expression" dxfId="238" priority="244">
      <formula>$C32&gt;$E$3</formula>
    </cfRule>
  </conditionalFormatting>
  <conditionalFormatting sqref="K32:K36">
    <cfRule type="expression" dxfId="237" priority="240">
      <formula>$C32&lt;$E$3</formula>
    </cfRule>
  </conditionalFormatting>
  <conditionalFormatting sqref="K32:K36">
    <cfRule type="expression" dxfId="236" priority="236">
      <formula>$C32=$E$3</formula>
    </cfRule>
    <cfRule type="expression" dxfId="235" priority="237">
      <formula>$C32&lt;$E$3</formula>
    </cfRule>
    <cfRule type="cellIs" dxfId="234" priority="238" operator="equal">
      <formula>0</formula>
    </cfRule>
    <cfRule type="expression" dxfId="233" priority="239">
      <formula>$C32&gt;$E$3</formula>
    </cfRule>
  </conditionalFormatting>
  <conditionalFormatting sqref="K32:K36">
    <cfRule type="expression" dxfId="232" priority="235">
      <formula>$E32=""</formula>
    </cfRule>
  </conditionalFormatting>
  <conditionalFormatting sqref="K32:K36">
    <cfRule type="expression" dxfId="231" priority="234">
      <formula>$C32&lt;$E$3</formula>
    </cfRule>
  </conditionalFormatting>
  <conditionalFormatting sqref="K32:K36">
    <cfRule type="expression" dxfId="230" priority="233">
      <formula>$E32=""</formula>
    </cfRule>
  </conditionalFormatting>
  <conditionalFormatting sqref="K32:K36">
    <cfRule type="expression" dxfId="229" priority="232">
      <formula>$E32=""</formula>
    </cfRule>
  </conditionalFormatting>
  <conditionalFormatting sqref="K32:K36">
    <cfRule type="expression" dxfId="228" priority="231">
      <formula>$C32&lt;$E$3</formula>
    </cfRule>
  </conditionalFormatting>
  <conditionalFormatting sqref="K32:K36">
    <cfRule type="expression" dxfId="227" priority="230">
      <formula>$E32=""</formula>
    </cfRule>
  </conditionalFormatting>
  <conditionalFormatting sqref="K32:K36">
    <cfRule type="expression" dxfId="226" priority="229">
      <formula>$C32&lt;$E$3</formula>
    </cfRule>
  </conditionalFormatting>
  <conditionalFormatting sqref="K32:K36">
    <cfRule type="expression" dxfId="225" priority="228">
      <formula>$E32=""</formula>
    </cfRule>
  </conditionalFormatting>
  <conditionalFormatting sqref="K32:K36">
    <cfRule type="expression" dxfId="224" priority="227">
      <formula>$C32&lt;$E$3</formula>
    </cfRule>
  </conditionalFormatting>
  <conditionalFormatting sqref="K32:K36">
    <cfRule type="expression" dxfId="223" priority="226">
      <formula>$E32=""</formula>
    </cfRule>
  </conditionalFormatting>
  <conditionalFormatting sqref="K32:K38">
    <cfRule type="expression" dxfId="222" priority="224">
      <formula>$C32&lt;$E$3</formula>
    </cfRule>
  </conditionalFormatting>
  <conditionalFormatting sqref="K32:K38">
    <cfRule type="expression" dxfId="221" priority="221">
      <formula>$C32=$E$3</formula>
    </cfRule>
    <cfRule type="expression" dxfId="220" priority="222">
      <formula>$C32&lt;$E$3</formula>
    </cfRule>
    <cfRule type="cellIs" dxfId="219" priority="223" operator="equal">
      <formula>0</formula>
    </cfRule>
    <cfRule type="expression" dxfId="218" priority="225">
      <formula>$C32&gt;$E$3</formula>
    </cfRule>
  </conditionalFormatting>
  <conditionalFormatting sqref="K32:K38">
    <cfRule type="expression" dxfId="217" priority="220">
      <formula>$E32=""</formula>
    </cfRule>
  </conditionalFormatting>
  <conditionalFormatting sqref="K32:K38">
    <cfRule type="expression" dxfId="216" priority="219">
      <formula>$E32=""</formula>
    </cfRule>
  </conditionalFormatting>
  <conditionalFormatting sqref="K32:K38">
    <cfRule type="expression" dxfId="215" priority="218">
      <formula>$E32=""</formula>
    </cfRule>
  </conditionalFormatting>
  <conditionalFormatting sqref="K41:K47">
    <cfRule type="cellIs" dxfId="214" priority="217" stopIfTrue="1" operator="lessThan">
      <formula>0</formula>
    </cfRule>
  </conditionalFormatting>
  <conditionalFormatting sqref="K41:K47">
    <cfRule type="expression" dxfId="213" priority="215">
      <formula>$C41&lt;$E$3</formula>
    </cfRule>
  </conditionalFormatting>
  <conditionalFormatting sqref="K41:K47">
    <cfRule type="expression" dxfId="212" priority="212">
      <formula>$C41=$E$3</formula>
    </cfRule>
    <cfRule type="expression" dxfId="211" priority="213">
      <formula>$C41&lt;$E$3</formula>
    </cfRule>
    <cfRule type="cellIs" dxfId="210" priority="214" operator="equal">
      <formula>0</formula>
    </cfRule>
    <cfRule type="expression" dxfId="209" priority="216">
      <formula>$C41&gt;$E$3</formula>
    </cfRule>
  </conditionalFormatting>
  <conditionalFormatting sqref="K41:K47">
    <cfRule type="expression" dxfId="208" priority="211">
      <formula>$E41=""</formula>
    </cfRule>
  </conditionalFormatting>
  <conditionalFormatting sqref="K41:K47">
    <cfRule type="expression" dxfId="207" priority="210">
      <formula>$E41=""</formula>
    </cfRule>
  </conditionalFormatting>
  <conditionalFormatting sqref="K41:K47">
    <cfRule type="expression" dxfId="206" priority="209">
      <formula>$E41=""</formula>
    </cfRule>
  </conditionalFormatting>
  <conditionalFormatting sqref="K46">
    <cfRule type="expression" dxfId="205" priority="208">
      <formula>$C46&lt;$E$3</formula>
    </cfRule>
  </conditionalFormatting>
  <conditionalFormatting sqref="K46">
    <cfRule type="expression" dxfId="204" priority="204">
      <formula>$C46=$E$3</formula>
    </cfRule>
    <cfRule type="expression" dxfId="203" priority="205">
      <formula>$C46&lt;$E$3</formula>
    </cfRule>
    <cfRule type="cellIs" dxfId="202" priority="206" operator="equal">
      <formula>0</formula>
    </cfRule>
    <cfRule type="expression" dxfId="201" priority="207">
      <formula>$C46&gt;$E$3</formula>
    </cfRule>
  </conditionalFormatting>
  <conditionalFormatting sqref="K46">
    <cfRule type="expression" dxfId="200" priority="203">
      <formula>$C46&lt;$E$3</formula>
    </cfRule>
  </conditionalFormatting>
  <conditionalFormatting sqref="K46">
    <cfRule type="expression" dxfId="199" priority="199">
      <formula>$C46=$E$3</formula>
    </cfRule>
    <cfRule type="expression" dxfId="198" priority="200">
      <formula>$C46&lt;$E$3</formula>
    </cfRule>
    <cfRule type="cellIs" dxfId="197" priority="201" operator="equal">
      <formula>0</formula>
    </cfRule>
    <cfRule type="expression" dxfId="196" priority="202">
      <formula>$C46&gt;$E$3</formula>
    </cfRule>
  </conditionalFormatting>
  <conditionalFormatting sqref="K46">
    <cfRule type="expression" dxfId="195" priority="198">
      <formula>$C46&lt;$E$3</formula>
    </cfRule>
  </conditionalFormatting>
  <conditionalFormatting sqref="K46">
    <cfRule type="expression" dxfId="194" priority="194">
      <formula>$C46=$E$3</formula>
    </cfRule>
    <cfRule type="expression" dxfId="193" priority="195">
      <formula>$C46&lt;$E$3</formula>
    </cfRule>
    <cfRule type="cellIs" dxfId="192" priority="196" operator="equal">
      <formula>0</formula>
    </cfRule>
    <cfRule type="expression" dxfId="191" priority="197">
      <formula>$C46&gt;$E$3</formula>
    </cfRule>
  </conditionalFormatting>
  <conditionalFormatting sqref="K46">
    <cfRule type="expression" dxfId="190" priority="193">
      <formula>$C46&lt;$E$3</formula>
    </cfRule>
  </conditionalFormatting>
  <conditionalFormatting sqref="K46">
    <cfRule type="expression" dxfId="189" priority="189">
      <formula>$C46=$E$3</formula>
    </cfRule>
    <cfRule type="expression" dxfId="188" priority="190">
      <formula>$C46&lt;$E$3</formula>
    </cfRule>
    <cfRule type="cellIs" dxfId="187" priority="191" operator="equal">
      <formula>0</formula>
    </cfRule>
    <cfRule type="expression" dxfId="186" priority="192">
      <formula>$C46&gt;$E$3</formula>
    </cfRule>
  </conditionalFormatting>
  <conditionalFormatting sqref="K46">
    <cfRule type="expression" dxfId="185" priority="188">
      <formula>$E46=""</formula>
    </cfRule>
  </conditionalFormatting>
  <conditionalFormatting sqref="K46">
    <cfRule type="expression" dxfId="184" priority="187">
      <formula>$C46&lt;$E$3</formula>
    </cfRule>
  </conditionalFormatting>
  <conditionalFormatting sqref="K46">
    <cfRule type="expression" dxfId="183" priority="186">
      <formula>$E46=""</formula>
    </cfRule>
  </conditionalFormatting>
  <conditionalFormatting sqref="K46">
    <cfRule type="expression" dxfId="182" priority="185">
      <formula>$E46=""</formula>
    </cfRule>
  </conditionalFormatting>
  <conditionalFormatting sqref="K46">
    <cfRule type="expression" dxfId="181" priority="184">
      <formula>$C46&lt;$E$3</formula>
    </cfRule>
  </conditionalFormatting>
  <conditionalFormatting sqref="K46">
    <cfRule type="expression" dxfId="180" priority="183">
      <formula>$E46=""</formula>
    </cfRule>
  </conditionalFormatting>
  <conditionalFormatting sqref="K46">
    <cfRule type="expression" dxfId="179" priority="182">
      <formula>$C46&lt;$E$3</formula>
    </cfRule>
  </conditionalFormatting>
  <conditionalFormatting sqref="K46">
    <cfRule type="expression" dxfId="178" priority="181">
      <formula>$E46=""</formula>
    </cfRule>
  </conditionalFormatting>
  <conditionalFormatting sqref="K46">
    <cfRule type="expression" dxfId="177" priority="180">
      <formula>$C46&lt;$E$3</formula>
    </cfRule>
  </conditionalFormatting>
  <conditionalFormatting sqref="K46">
    <cfRule type="expression" dxfId="176" priority="179">
      <formula>$E46=""</formula>
    </cfRule>
  </conditionalFormatting>
  <conditionalFormatting sqref="K46">
    <cfRule type="expression" dxfId="175" priority="178">
      <formula>$C46&lt;$E$3</formula>
    </cfRule>
  </conditionalFormatting>
  <conditionalFormatting sqref="K46">
    <cfRule type="expression" dxfId="174" priority="174">
      <formula>$C46=$E$3</formula>
    </cfRule>
    <cfRule type="expression" dxfId="173" priority="175">
      <formula>$C46&lt;$E$3</formula>
    </cfRule>
    <cfRule type="cellIs" dxfId="172" priority="176" operator="equal">
      <formula>0</formula>
    </cfRule>
    <cfRule type="expression" dxfId="171" priority="177">
      <formula>$C46&gt;$E$3</formula>
    </cfRule>
  </conditionalFormatting>
  <conditionalFormatting sqref="K46">
    <cfRule type="expression" dxfId="170" priority="173">
      <formula>$C46&lt;$E$3</formula>
    </cfRule>
  </conditionalFormatting>
  <conditionalFormatting sqref="K46">
    <cfRule type="expression" dxfId="169" priority="169">
      <formula>$C46=$E$3</formula>
    </cfRule>
    <cfRule type="expression" dxfId="168" priority="170">
      <formula>$C46&lt;$E$3</formula>
    </cfRule>
    <cfRule type="cellIs" dxfId="167" priority="171" operator="equal">
      <formula>0</formula>
    </cfRule>
    <cfRule type="expression" dxfId="166" priority="172">
      <formula>$C46&gt;$E$3</formula>
    </cfRule>
  </conditionalFormatting>
  <conditionalFormatting sqref="K46">
    <cfRule type="expression" dxfId="165" priority="168">
      <formula>$C46&lt;$E$3</formula>
    </cfRule>
  </conditionalFormatting>
  <conditionalFormatting sqref="K46">
    <cfRule type="expression" dxfId="164" priority="164">
      <formula>$C46=$E$3</formula>
    </cfRule>
    <cfRule type="expression" dxfId="163" priority="165">
      <formula>$C46&lt;$E$3</formula>
    </cfRule>
    <cfRule type="cellIs" dxfId="162" priority="166" operator="equal">
      <formula>0</formula>
    </cfRule>
    <cfRule type="expression" dxfId="161" priority="167">
      <formula>$C46&gt;$E$3</formula>
    </cfRule>
  </conditionalFormatting>
  <conditionalFormatting sqref="K46">
    <cfRule type="expression" dxfId="160" priority="163">
      <formula>$C46&lt;$E$3</formula>
    </cfRule>
  </conditionalFormatting>
  <conditionalFormatting sqref="K46">
    <cfRule type="expression" dxfId="159" priority="159">
      <formula>$C46=$E$3</formula>
    </cfRule>
    <cfRule type="expression" dxfId="158" priority="160">
      <formula>$C46&lt;$E$3</formula>
    </cfRule>
    <cfRule type="cellIs" dxfId="157" priority="161" operator="equal">
      <formula>0</formula>
    </cfRule>
    <cfRule type="expression" dxfId="156" priority="162">
      <formula>$C46&gt;$E$3</formula>
    </cfRule>
  </conditionalFormatting>
  <conditionalFormatting sqref="K46">
    <cfRule type="expression" dxfId="155" priority="158">
      <formula>$E46=""</formula>
    </cfRule>
  </conditionalFormatting>
  <conditionalFormatting sqref="K46">
    <cfRule type="expression" dxfId="154" priority="157">
      <formula>$C46&lt;$E$3</formula>
    </cfRule>
  </conditionalFormatting>
  <conditionalFormatting sqref="K46">
    <cfRule type="expression" dxfId="153" priority="156">
      <formula>$E46=""</formula>
    </cfRule>
  </conditionalFormatting>
  <conditionalFormatting sqref="K46">
    <cfRule type="expression" dxfId="152" priority="155">
      <formula>$E46=""</formula>
    </cfRule>
  </conditionalFormatting>
  <conditionalFormatting sqref="K46">
    <cfRule type="expression" dxfId="151" priority="154">
      <formula>$C46&lt;$E$3</formula>
    </cfRule>
  </conditionalFormatting>
  <conditionalFormatting sqref="K46">
    <cfRule type="expression" dxfId="150" priority="153">
      <formula>$E46=""</formula>
    </cfRule>
  </conditionalFormatting>
  <conditionalFormatting sqref="K46">
    <cfRule type="expression" dxfId="149" priority="152">
      <formula>$C46&lt;$E$3</formula>
    </cfRule>
  </conditionalFormatting>
  <conditionalFormatting sqref="K46">
    <cfRule type="expression" dxfId="148" priority="151">
      <formula>$E46=""</formula>
    </cfRule>
  </conditionalFormatting>
  <conditionalFormatting sqref="K46">
    <cfRule type="expression" dxfId="147" priority="150">
      <formula>$C46&lt;$E$3</formula>
    </cfRule>
  </conditionalFormatting>
  <conditionalFormatting sqref="K46">
    <cfRule type="expression" dxfId="146" priority="149">
      <formula>$E46=""</formula>
    </cfRule>
  </conditionalFormatting>
  <conditionalFormatting sqref="K41:K45">
    <cfRule type="expression" dxfId="145" priority="148">
      <formula>$C41&lt;$E$3</formula>
    </cfRule>
  </conditionalFormatting>
  <conditionalFormatting sqref="K41:K45">
    <cfRule type="expression" dxfId="144" priority="144">
      <formula>$C41=$E$3</formula>
    </cfRule>
    <cfRule type="expression" dxfId="143" priority="145">
      <formula>$C41&lt;$E$3</formula>
    </cfRule>
    <cfRule type="cellIs" dxfId="142" priority="146" operator="equal">
      <formula>0</formula>
    </cfRule>
    <cfRule type="expression" dxfId="141" priority="147">
      <formula>$C41&gt;$E$3</formula>
    </cfRule>
  </conditionalFormatting>
  <conditionalFormatting sqref="K41:K45">
    <cfRule type="expression" dxfId="140" priority="143">
      <formula>$C41&lt;$E$3</formula>
    </cfRule>
  </conditionalFormatting>
  <conditionalFormatting sqref="K41:K45">
    <cfRule type="expression" dxfId="139" priority="139">
      <formula>$C41=$E$3</formula>
    </cfRule>
    <cfRule type="expression" dxfId="138" priority="140">
      <formula>$C41&lt;$E$3</formula>
    </cfRule>
    <cfRule type="cellIs" dxfId="137" priority="141" operator="equal">
      <formula>0</formula>
    </cfRule>
    <cfRule type="expression" dxfId="136" priority="142">
      <formula>$C41&gt;$E$3</formula>
    </cfRule>
  </conditionalFormatting>
  <conditionalFormatting sqref="K41:K45">
    <cfRule type="expression" dxfId="135" priority="138">
      <formula>$C41&lt;$E$3</formula>
    </cfRule>
  </conditionalFormatting>
  <conditionalFormatting sqref="K41:K45">
    <cfRule type="expression" dxfId="134" priority="134">
      <formula>$C41=$E$3</formula>
    </cfRule>
    <cfRule type="expression" dxfId="133" priority="135">
      <formula>$C41&lt;$E$3</formula>
    </cfRule>
    <cfRule type="cellIs" dxfId="132" priority="136" operator="equal">
      <formula>0</formula>
    </cfRule>
    <cfRule type="expression" dxfId="131" priority="137">
      <formula>$C41&gt;$E$3</formula>
    </cfRule>
  </conditionalFormatting>
  <conditionalFormatting sqref="K41:K45">
    <cfRule type="expression" dxfId="130" priority="133">
      <formula>$C41&lt;$E$3</formula>
    </cfRule>
  </conditionalFormatting>
  <conditionalFormatting sqref="K41:K45">
    <cfRule type="expression" dxfId="129" priority="129">
      <formula>$C41=$E$3</formula>
    </cfRule>
    <cfRule type="expression" dxfId="128" priority="130">
      <formula>$C41&lt;$E$3</formula>
    </cfRule>
    <cfRule type="cellIs" dxfId="127" priority="131" operator="equal">
      <formula>0</formula>
    </cfRule>
    <cfRule type="expression" dxfId="126" priority="132">
      <formula>$C41&gt;$E$3</formula>
    </cfRule>
  </conditionalFormatting>
  <conditionalFormatting sqref="K41:K45">
    <cfRule type="expression" dxfId="125" priority="128">
      <formula>$E41=""</formula>
    </cfRule>
  </conditionalFormatting>
  <conditionalFormatting sqref="K41:K45">
    <cfRule type="expression" dxfId="124" priority="127">
      <formula>$C41&lt;$E$3</formula>
    </cfRule>
  </conditionalFormatting>
  <conditionalFormatting sqref="K41:K45">
    <cfRule type="expression" dxfId="123" priority="126">
      <formula>$E41=""</formula>
    </cfRule>
  </conditionalFormatting>
  <conditionalFormatting sqref="K41:K45">
    <cfRule type="expression" dxfId="122" priority="125">
      <formula>$E41=""</formula>
    </cfRule>
  </conditionalFormatting>
  <conditionalFormatting sqref="K41:K45">
    <cfRule type="expression" dxfId="121" priority="124">
      <formula>$C41&lt;$E$3</formula>
    </cfRule>
  </conditionalFormatting>
  <conditionalFormatting sqref="K41:K45">
    <cfRule type="expression" dxfId="120" priority="123">
      <formula>$E41=""</formula>
    </cfRule>
  </conditionalFormatting>
  <conditionalFormatting sqref="K41:K45">
    <cfRule type="expression" dxfId="119" priority="122">
      <formula>$C41&lt;$E$3</formula>
    </cfRule>
  </conditionalFormatting>
  <conditionalFormatting sqref="K41:K45">
    <cfRule type="expression" dxfId="118" priority="121">
      <formula>$E41=""</formula>
    </cfRule>
  </conditionalFormatting>
  <conditionalFormatting sqref="K41:K45">
    <cfRule type="expression" dxfId="117" priority="120">
      <formula>$C41&lt;$E$3</formula>
    </cfRule>
  </conditionalFormatting>
  <conditionalFormatting sqref="K41:K45">
    <cfRule type="expression" dxfId="116" priority="119">
      <formula>$E41=""</formula>
    </cfRule>
  </conditionalFormatting>
  <conditionalFormatting sqref="K41:K45">
    <cfRule type="expression" dxfId="115" priority="118">
      <formula>$C41&lt;$E$3</formula>
    </cfRule>
  </conditionalFormatting>
  <conditionalFormatting sqref="K41:K45">
    <cfRule type="expression" dxfId="114" priority="114">
      <formula>$C41=$E$3</formula>
    </cfRule>
    <cfRule type="expression" dxfId="113" priority="115">
      <formula>$C41&lt;$E$3</formula>
    </cfRule>
    <cfRule type="cellIs" dxfId="112" priority="116" operator="equal">
      <formula>0</formula>
    </cfRule>
    <cfRule type="expression" dxfId="111" priority="117">
      <formula>$C41&gt;$E$3</formula>
    </cfRule>
  </conditionalFormatting>
  <conditionalFormatting sqref="K41:K45">
    <cfRule type="expression" dxfId="110" priority="113">
      <formula>$C41&lt;$E$3</formula>
    </cfRule>
  </conditionalFormatting>
  <conditionalFormatting sqref="K41:K45">
    <cfRule type="expression" dxfId="109" priority="109">
      <formula>$C41=$E$3</formula>
    </cfRule>
    <cfRule type="expression" dxfId="108" priority="110">
      <formula>$C41&lt;$E$3</formula>
    </cfRule>
    <cfRule type="cellIs" dxfId="107" priority="111" operator="equal">
      <formula>0</formula>
    </cfRule>
    <cfRule type="expression" dxfId="106" priority="112">
      <formula>$C41&gt;$E$3</formula>
    </cfRule>
  </conditionalFormatting>
  <conditionalFormatting sqref="K41:K45">
    <cfRule type="expression" dxfId="105" priority="108">
      <formula>$C41&lt;$E$3</formula>
    </cfRule>
  </conditionalFormatting>
  <conditionalFormatting sqref="K41:K45">
    <cfRule type="expression" dxfId="104" priority="104">
      <formula>$C41=$E$3</formula>
    </cfRule>
    <cfRule type="expression" dxfId="103" priority="105">
      <formula>$C41&lt;$E$3</formula>
    </cfRule>
    <cfRule type="cellIs" dxfId="102" priority="106" operator="equal">
      <formula>0</formula>
    </cfRule>
    <cfRule type="expression" dxfId="101" priority="107">
      <formula>$C41&gt;$E$3</formula>
    </cfRule>
  </conditionalFormatting>
  <conditionalFormatting sqref="K41:K45">
    <cfRule type="expression" dxfId="100" priority="103">
      <formula>$C41&lt;$E$3</formula>
    </cfRule>
  </conditionalFormatting>
  <conditionalFormatting sqref="K41:K45">
    <cfRule type="expression" dxfId="99" priority="99">
      <formula>$C41=$E$3</formula>
    </cfRule>
    <cfRule type="expression" dxfId="98" priority="100">
      <formula>$C41&lt;$E$3</formula>
    </cfRule>
    <cfRule type="cellIs" dxfId="97" priority="101" operator="equal">
      <formula>0</formula>
    </cfRule>
    <cfRule type="expression" dxfId="96" priority="102">
      <formula>$C41&gt;$E$3</formula>
    </cfRule>
  </conditionalFormatting>
  <conditionalFormatting sqref="K41:K45">
    <cfRule type="expression" dxfId="95" priority="98">
      <formula>$E41=""</formula>
    </cfRule>
  </conditionalFormatting>
  <conditionalFormatting sqref="K41:K45">
    <cfRule type="expression" dxfId="94" priority="97">
      <formula>$C41&lt;$E$3</formula>
    </cfRule>
  </conditionalFormatting>
  <conditionalFormatting sqref="K41:K45">
    <cfRule type="expression" dxfId="93" priority="96">
      <formula>$E41=""</formula>
    </cfRule>
  </conditionalFormatting>
  <conditionalFormatting sqref="K41:K45">
    <cfRule type="expression" dxfId="92" priority="95">
      <formula>$E41=""</formula>
    </cfRule>
  </conditionalFormatting>
  <conditionalFormatting sqref="K41:K45">
    <cfRule type="expression" dxfId="91" priority="94">
      <formula>$C41&lt;$E$3</formula>
    </cfRule>
  </conditionalFormatting>
  <conditionalFormatting sqref="K41:K45">
    <cfRule type="expression" dxfId="90" priority="93">
      <formula>$E41=""</formula>
    </cfRule>
  </conditionalFormatting>
  <conditionalFormatting sqref="K41:K45">
    <cfRule type="expression" dxfId="89" priority="92">
      <formula>$C41&lt;$E$3</formula>
    </cfRule>
  </conditionalFormatting>
  <conditionalFormatting sqref="K41:K45">
    <cfRule type="expression" dxfId="88" priority="91">
      <formula>$E41=""</formula>
    </cfRule>
  </conditionalFormatting>
  <conditionalFormatting sqref="K41:K45">
    <cfRule type="expression" dxfId="87" priority="90">
      <formula>$C41&lt;$E$3</formula>
    </cfRule>
  </conditionalFormatting>
  <conditionalFormatting sqref="K41:K45">
    <cfRule type="expression" dxfId="86" priority="89">
      <formula>$E41=""</formula>
    </cfRule>
  </conditionalFormatting>
  <conditionalFormatting sqref="K41:K47">
    <cfRule type="expression" dxfId="85" priority="87">
      <formula>$C41&lt;$E$3</formula>
    </cfRule>
  </conditionalFormatting>
  <conditionalFormatting sqref="K41:K47">
    <cfRule type="expression" dxfId="84" priority="84">
      <formula>$C41=$E$3</formula>
    </cfRule>
    <cfRule type="expression" dxfId="83" priority="85">
      <formula>$C41&lt;$E$3</formula>
    </cfRule>
    <cfRule type="cellIs" dxfId="82" priority="86" operator="equal">
      <formula>0</formula>
    </cfRule>
    <cfRule type="expression" dxfId="81" priority="88">
      <formula>$C41&gt;$E$3</formula>
    </cfRule>
  </conditionalFormatting>
  <conditionalFormatting sqref="K41:K47">
    <cfRule type="expression" dxfId="80" priority="83">
      <formula>$E41=""</formula>
    </cfRule>
  </conditionalFormatting>
  <conditionalFormatting sqref="K41:K47">
    <cfRule type="expression" dxfId="79" priority="82">
      <formula>$E41=""</formula>
    </cfRule>
  </conditionalFormatting>
  <conditionalFormatting sqref="K41:K47">
    <cfRule type="expression" dxfId="78" priority="81">
      <formula>$E41=""</formula>
    </cfRule>
  </conditionalFormatting>
  <conditionalFormatting sqref="K50:K51">
    <cfRule type="cellIs" dxfId="77" priority="80" stopIfTrue="1" operator="lessThan">
      <formula>0</formula>
    </cfRule>
  </conditionalFormatting>
  <conditionalFormatting sqref="K50:K51">
    <cfRule type="expression" dxfId="76" priority="78">
      <formula>$C50&lt;$E$3</formula>
    </cfRule>
  </conditionalFormatting>
  <conditionalFormatting sqref="K50:K51">
    <cfRule type="expression" dxfId="75" priority="75">
      <formula>$C50=$E$3</formula>
    </cfRule>
    <cfRule type="expression" dxfId="74" priority="76">
      <formula>$C50&lt;$E$3</formula>
    </cfRule>
    <cfRule type="cellIs" dxfId="73" priority="77" operator="equal">
      <formula>0</formula>
    </cfRule>
    <cfRule type="expression" dxfId="72" priority="79">
      <formula>$C50&gt;$E$3</formula>
    </cfRule>
  </conditionalFormatting>
  <conditionalFormatting sqref="K50:K51">
    <cfRule type="expression" dxfId="71" priority="74">
      <formula>$E50=""</formula>
    </cfRule>
  </conditionalFormatting>
  <conditionalFormatting sqref="K50:K51">
    <cfRule type="expression" dxfId="70" priority="73">
      <formula>$E50=""</formula>
    </cfRule>
  </conditionalFormatting>
  <conditionalFormatting sqref="K50:K51">
    <cfRule type="expression" dxfId="69" priority="72">
      <formula>$E50=""</formula>
    </cfRule>
  </conditionalFormatting>
  <conditionalFormatting sqref="K50:K51">
    <cfRule type="expression" dxfId="68" priority="71">
      <formula>$C50&lt;$E$3</formula>
    </cfRule>
  </conditionalFormatting>
  <conditionalFormatting sqref="K50:K51">
    <cfRule type="expression" dxfId="67" priority="67">
      <formula>$C50=$E$3</formula>
    </cfRule>
    <cfRule type="expression" dxfId="66" priority="68">
      <formula>$C50&lt;$E$3</formula>
    </cfRule>
    <cfRule type="cellIs" dxfId="65" priority="69" operator="equal">
      <formula>0</formula>
    </cfRule>
    <cfRule type="expression" dxfId="64" priority="70">
      <formula>$C50&gt;$E$3</formula>
    </cfRule>
  </conditionalFormatting>
  <conditionalFormatting sqref="K50:K51">
    <cfRule type="expression" dxfId="63" priority="66">
      <formula>$C50&lt;$E$3</formula>
    </cfRule>
  </conditionalFormatting>
  <conditionalFormatting sqref="K50:K51">
    <cfRule type="expression" dxfId="62" priority="62">
      <formula>$C50=$E$3</formula>
    </cfRule>
    <cfRule type="expression" dxfId="61" priority="63">
      <formula>$C50&lt;$E$3</formula>
    </cfRule>
    <cfRule type="cellIs" dxfId="60" priority="64" operator="equal">
      <formula>0</formula>
    </cfRule>
    <cfRule type="expression" dxfId="59" priority="65">
      <formula>$C50&gt;$E$3</formula>
    </cfRule>
  </conditionalFormatting>
  <conditionalFormatting sqref="K50:K51">
    <cfRule type="expression" dxfId="58" priority="61">
      <formula>$C50&lt;$E$3</formula>
    </cfRule>
  </conditionalFormatting>
  <conditionalFormatting sqref="K50:K51">
    <cfRule type="expression" dxfId="57" priority="57">
      <formula>$C50=$E$3</formula>
    </cfRule>
    <cfRule type="expression" dxfId="56" priority="58">
      <formula>$C50&lt;$E$3</formula>
    </cfRule>
    <cfRule type="cellIs" dxfId="55" priority="59" operator="equal">
      <formula>0</formula>
    </cfRule>
    <cfRule type="expression" dxfId="54" priority="60">
      <formula>$C50&gt;$E$3</formula>
    </cfRule>
  </conditionalFormatting>
  <conditionalFormatting sqref="K50:K51">
    <cfRule type="expression" dxfId="53" priority="56">
      <formula>$C50&lt;$E$3</formula>
    </cfRule>
  </conditionalFormatting>
  <conditionalFormatting sqref="K50:K51">
    <cfRule type="expression" dxfId="52" priority="52">
      <formula>$C50=$E$3</formula>
    </cfRule>
    <cfRule type="expression" dxfId="51" priority="53">
      <formula>$C50&lt;$E$3</formula>
    </cfRule>
    <cfRule type="cellIs" dxfId="50" priority="54" operator="equal">
      <formula>0</formula>
    </cfRule>
    <cfRule type="expression" dxfId="49" priority="55">
      <formula>$C50&gt;$E$3</formula>
    </cfRule>
  </conditionalFormatting>
  <conditionalFormatting sqref="K50:K51">
    <cfRule type="expression" dxfId="48" priority="50">
      <formula>$C50&lt;$E$3</formula>
    </cfRule>
  </conditionalFormatting>
  <conditionalFormatting sqref="K50:K51">
    <cfRule type="expression" dxfId="47" priority="49">
      <formula>$E50=""</formula>
    </cfRule>
  </conditionalFormatting>
  <conditionalFormatting sqref="K50:K51">
    <cfRule type="expression" dxfId="46" priority="48">
      <formula>$E50=""</formula>
    </cfRule>
  </conditionalFormatting>
  <conditionalFormatting sqref="K50:K51">
    <cfRule type="expression" dxfId="45" priority="47">
      <formula>$C50&lt;$E$3</formula>
    </cfRule>
  </conditionalFormatting>
  <conditionalFormatting sqref="K50:K51">
    <cfRule type="expression" dxfId="44" priority="46">
      <formula>$E50=""</formula>
    </cfRule>
  </conditionalFormatting>
  <conditionalFormatting sqref="K50:K51">
    <cfRule type="expression" dxfId="43" priority="45">
      <formula>$C50&lt;$E$3</formula>
    </cfRule>
  </conditionalFormatting>
  <conditionalFormatting sqref="K50:K51">
    <cfRule type="expression" dxfId="42" priority="44">
      <formula>$E50=""</formula>
    </cfRule>
  </conditionalFormatting>
  <conditionalFormatting sqref="K50:K51">
    <cfRule type="expression" dxfId="41" priority="43">
      <formula>$C50&lt;$E$3</formula>
    </cfRule>
  </conditionalFormatting>
  <conditionalFormatting sqref="K50:K51">
    <cfRule type="expression" dxfId="40" priority="42">
      <formula>$E50=""</formula>
    </cfRule>
  </conditionalFormatting>
  <conditionalFormatting sqref="K50:K51">
    <cfRule type="expression" dxfId="39" priority="41">
      <formula>$C50&lt;$E$3</formula>
    </cfRule>
  </conditionalFormatting>
  <conditionalFormatting sqref="K50:K51">
    <cfRule type="expression" dxfId="38" priority="37">
      <formula>$C50=$E$3</formula>
    </cfRule>
    <cfRule type="expression" dxfId="37" priority="38">
      <formula>$C50&lt;$E$3</formula>
    </cfRule>
    <cfRule type="cellIs" dxfId="36" priority="39" operator="equal">
      <formula>0</formula>
    </cfRule>
    <cfRule type="expression" dxfId="35" priority="40">
      <formula>$C50&gt;$E$3</formula>
    </cfRule>
  </conditionalFormatting>
  <conditionalFormatting sqref="K50:K51">
    <cfRule type="expression" dxfId="34" priority="36">
      <formula>$C50&lt;$E$3</formula>
    </cfRule>
  </conditionalFormatting>
  <conditionalFormatting sqref="K50:K51">
    <cfRule type="expression" dxfId="33" priority="32">
      <formula>$C50=$E$3</formula>
    </cfRule>
    <cfRule type="expression" dxfId="32" priority="33">
      <formula>$C50&lt;$E$3</formula>
    </cfRule>
    <cfRule type="cellIs" dxfId="31" priority="34" operator="equal">
      <formula>0</formula>
    </cfRule>
    <cfRule type="expression" dxfId="30" priority="35">
      <formula>$C50&gt;$E$3</formula>
    </cfRule>
  </conditionalFormatting>
  <conditionalFormatting sqref="K50:K51">
    <cfRule type="expression" dxfId="29" priority="31">
      <formula>$C50&lt;$E$3</formula>
    </cfRule>
  </conditionalFormatting>
  <conditionalFormatting sqref="K50:K51">
    <cfRule type="expression" dxfId="28" priority="27">
      <formula>$C50=$E$3</formula>
    </cfRule>
    <cfRule type="expression" dxfId="27" priority="28">
      <formula>$C50&lt;$E$3</formula>
    </cfRule>
    <cfRule type="cellIs" dxfId="26" priority="29" operator="equal">
      <formula>0</formula>
    </cfRule>
    <cfRule type="expression" dxfId="25" priority="30">
      <formula>$C50&gt;$E$3</formula>
    </cfRule>
  </conditionalFormatting>
  <conditionalFormatting sqref="K50:K51">
    <cfRule type="expression" dxfId="24" priority="26">
      <formula>$C50&lt;$E$3</formula>
    </cfRule>
  </conditionalFormatting>
  <conditionalFormatting sqref="K50:K51">
    <cfRule type="expression" dxfId="23" priority="22">
      <formula>$C50=$E$3</formula>
    </cfRule>
    <cfRule type="expression" dxfId="22" priority="23">
      <formula>$C50&lt;$E$3</formula>
    </cfRule>
    <cfRule type="cellIs" dxfId="21" priority="24" operator="equal">
      <formula>0</formula>
    </cfRule>
    <cfRule type="expression" dxfId="20" priority="25">
      <formula>$C50&gt;$E$3</formula>
    </cfRule>
  </conditionalFormatting>
  <conditionalFormatting sqref="K50:K51">
    <cfRule type="expression" dxfId="19" priority="21">
      <formula>$E50=""</formula>
    </cfRule>
  </conditionalFormatting>
  <conditionalFormatting sqref="K50:K51">
    <cfRule type="expression" dxfId="18" priority="20">
      <formula>$C50&lt;$E$3</formula>
    </cfRule>
  </conditionalFormatting>
  <conditionalFormatting sqref="K50:K51">
    <cfRule type="expression" dxfId="17" priority="19">
      <formula>$E50=""</formula>
    </cfRule>
  </conditionalFormatting>
  <conditionalFormatting sqref="K50:K51">
    <cfRule type="expression" dxfId="16" priority="18">
      <formula>$E50=""</formula>
    </cfRule>
  </conditionalFormatting>
  <conditionalFormatting sqref="K50:K51">
    <cfRule type="expression" dxfId="15" priority="17">
      <formula>$C50&lt;$E$3</formula>
    </cfRule>
  </conditionalFormatting>
  <conditionalFormatting sqref="K50:K51">
    <cfRule type="expression" dxfId="14" priority="16">
      <formula>$E50=""</formula>
    </cfRule>
  </conditionalFormatting>
  <conditionalFormatting sqref="K50:K51">
    <cfRule type="expression" dxfId="13" priority="15">
      <formula>$C50&lt;$E$3</formula>
    </cfRule>
  </conditionalFormatting>
  <conditionalFormatting sqref="K50:K51">
    <cfRule type="expression" dxfId="12" priority="14">
      <formula>$E50=""</formula>
    </cfRule>
  </conditionalFormatting>
  <conditionalFormatting sqref="K50:K51">
    <cfRule type="expression" dxfId="11" priority="13">
      <formula>$C50&lt;$E$3</formula>
    </cfRule>
  </conditionalFormatting>
  <conditionalFormatting sqref="K50:K51">
    <cfRule type="expression" dxfId="10" priority="12">
      <formula>$E50=""</formula>
    </cfRule>
  </conditionalFormatting>
  <conditionalFormatting sqref="K50:K51">
    <cfRule type="expression" dxfId="9" priority="10">
      <formula>$C50&lt;$E$3</formula>
    </cfRule>
  </conditionalFormatting>
  <conditionalFormatting sqref="K50:K51">
    <cfRule type="expression" dxfId="8" priority="7">
      <formula>$C50=$E$3</formula>
    </cfRule>
    <cfRule type="expression" dxfId="7" priority="8">
      <formula>$C50&lt;$E$3</formula>
    </cfRule>
    <cfRule type="cellIs" dxfId="6" priority="9" operator="equal">
      <formula>0</formula>
    </cfRule>
    <cfRule type="expression" dxfId="5" priority="11">
      <formula>$C50&gt;$E$3</formula>
    </cfRule>
  </conditionalFormatting>
  <conditionalFormatting sqref="K50:K51">
    <cfRule type="expression" dxfId="4" priority="6">
      <formula>$E50=""</formula>
    </cfRule>
  </conditionalFormatting>
  <conditionalFormatting sqref="K50:K51">
    <cfRule type="expression" dxfId="3" priority="5">
      <formula>$E50=""</formula>
    </cfRule>
  </conditionalFormatting>
  <conditionalFormatting sqref="K50:K51">
    <cfRule type="expression" dxfId="2" priority="4">
      <formula>$E50=""</formula>
    </cfRule>
  </conditionalFormatting>
  <conditionalFormatting sqref="V50:W51 V5:W20 V23:W29 V32:W38 V41:W47">
    <cfRule type="cellIs" dxfId="1" priority="1" stopIfTrue="1" operator="lessThan">
      <formula>0</formula>
    </cfRule>
  </conditionalFormatting>
  <conditionalFormatting sqref="Q4:Q51 R5:R11 R14:R20 R23:R29 R32:R38 R41:R47 R50:R51 T50:U51 T41:U47 T32:U38 T23:U29 T14:U20 T5:U11">
    <cfRule type="cellIs" dxfId="0" priority="2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BB68"/>
  <sheetViews>
    <sheetView zoomScale="85" zoomScaleNormal="85" zoomScalePageLayoutView="85" workbookViewId="0">
      <pane ySplit="4" topLeftCell="A7" activePane="bottomLeft" state="frozen"/>
      <selection pane="bottomLeft" activeCell="F8" sqref="F8"/>
    </sheetView>
  </sheetViews>
  <sheetFormatPr baseColWidth="10" defaultColWidth="8.83203125" defaultRowHeight="15" x14ac:dyDescent="0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.1640625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" customHeight="1" thickBot="1">
      <c r="A1" s="52">
        <v>1</v>
      </c>
      <c r="B1" s="50" t="s">
        <v>0</v>
      </c>
      <c r="C1" s="51" t="s">
        <v>0</v>
      </c>
      <c r="D1" s="51"/>
      <c r="E1" s="363" t="str">
        <f>VLOOKUP(A1,'MY STATS'!$B$29:$E$40,4)</f>
        <v>Jan.</v>
      </c>
      <c r="F1" s="141" t="s">
        <v>78</v>
      </c>
      <c r="G1" s="142" t="s">
        <v>77</v>
      </c>
      <c r="H1" s="143" t="s">
        <v>79</v>
      </c>
      <c r="I1" s="144"/>
      <c r="J1" s="144" t="s">
        <v>113</v>
      </c>
      <c r="K1" s="127" t="s">
        <v>109</v>
      </c>
      <c r="L1" s="142" t="s">
        <v>114</v>
      </c>
      <c r="M1" s="127" t="s">
        <v>110</v>
      </c>
      <c r="N1" s="321" t="s">
        <v>59</v>
      </c>
      <c r="O1" s="244" t="s">
        <v>31</v>
      </c>
      <c r="P1" s="250" t="s">
        <v>32</v>
      </c>
      <c r="Q1" s="250" t="s">
        <v>32</v>
      </c>
      <c r="R1" s="343" t="s">
        <v>38</v>
      </c>
      <c r="S1" s="364" t="s">
        <v>149</v>
      </c>
      <c r="T1" s="343"/>
      <c r="U1" s="343"/>
      <c r="V1" s="343" t="s">
        <v>107</v>
      </c>
      <c r="W1" s="343" t="s">
        <v>108</v>
      </c>
      <c r="X1" s="250" t="s">
        <v>30</v>
      </c>
      <c r="Y1" s="250" t="s">
        <v>27</v>
      </c>
      <c r="Z1" s="250" t="s">
        <v>28</v>
      </c>
      <c r="AA1" s="344" t="s">
        <v>29</v>
      </c>
      <c r="AB1" s="230"/>
      <c r="AC1" s="100"/>
      <c r="AD1" s="97"/>
      <c r="AE1" s="97"/>
      <c r="AF1" s="97"/>
    </row>
    <row r="2" spans="1:34" ht="32" hidden="1" customHeight="1" thickTop="1" thickBot="1">
      <c r="A2" s="95" t="s">
        <v>75</v>
      </c>
      <c r="B2" s="25">
        <f>VLOOKUP(A1,'MY STATS'!$B$29:$G$40,3)</f>
        <v>43101</v>
      </c>
      <c r="D2" s="45"/>
      <c r="E2" s="2" t="s">
        <v>19</v>
      </c>
      <c r="F2" s="95" t="s">
        <v>74</v>
      </c>
      <c r="G2" s="93" t="s">
        <v>61</v>
      </c>
      <c r="H2" s="64" t="s">
        <v>60</v>
      </c>
      <c r="I2" s="64"/>
      <c r="J2" s="64"/>
      <c r="K2" s="64"/>
      <c r="L2" s="64"/>
      <c r="M2" s="64"/>
      <c r="N2" s="322"/>
      <c r="O2" s="345"/>
      <c r="P2" s="230"/>
      <c r="Q2" s="230"/>
      <c r="R2" s="346">
        <f>'MY STATS'!A15</f>
        <v>1</v>
      </c>
      <c r="S2" s="346"/>
      <c r="T2" s="346"/>
      <c r="U2" s="346"/>
      <c r="V2" s="346"/>
      <c r="W2" s="346"/>
      <c r="X2" s="230"/>
      <c r="Y2" s="230"/>
      <c r="Z2" s="234"/>
      <c r="AA2" s="234"/>
      <c r="AB2" s="230"/>
      <c r="AC2" s="100"/>
      <c r="AD2" s="97"/>
      <c r="AE2" s="97"/>
      <c r="AF2" s="97"/>
    </row>
    <row r="3" spans="1:34" ht="17" hidden="1" customHeight="1" thickTop="1" thickBot="1">
      <c r="A3" s="96">
        <f>'MY STATS'!D41</f>
        <v>43466</v>
      </c>
      <c r="B3" s="25">
        <f>VLOOKUP(A1+1,'MY STATS'!$B$29:$G$41,3)-1</f>
        <v>43131</v>
      </c>
      <c r="C3" s="25">
        <f>VLOOKUP(A1,'MY STATS'!$B$29:$G$40,2)</f>
        <v>43101</v>
      </c>
      <c r="D3" s="46"/>
      <c r="E3" s="4">
        <f ca="1">TODAY()</f>
        <v>43138</v>
      </c>
      <c r="F3" s="65">
        <f>'MY STATS'!B$11</f>
        <v>587410.55929510726</v>
      </c>
      <c r="G3" s="65">
        <f>VLOOKUP(A1-1,'MY STATS'!B$28:J$40,9)</f>
        <v>0</v>
      </c>
      <c r="H3" s="66">
        <f>VLOOKUP($A$1-1,'MY STATS'!$B$28:$I$41,8)</f>
        <v>0</v>
      </c>
      <c r="I3" s="66"/>
      <c r="J3" s="66"/>
      <c r="K3" s="66"/>
      <c r="L3" s="65"/>
      <c r="M3" s="65"/>
      <c r="N3" s="323"/>
      <c r="O3" s="345"/>
      <c r="P3" s="230"/>
      <c r="Q3" s="230"/>
      <c r="R3" s="346"/>
      <c r="S3" s="346"/>
      <c r="T3" s="346"/>
      <c r="U3" s="346"/>
      <c r="V3" s="346"/>
      <c r="W3" s="346"/>
      <c r="X3" s="230"/>
      <c r="Y3" s="230"/>
      <c r="Z3" s="234"/>
      <c r="AA3" s="234"/>
      <c r="AB3" s="230"/>
      <c r="AC3" s="100"/>
      <c r="AD3" s="97"/>
      <c r="AE3" s="97"/>
      <c r="AF3" s="97"/>
    </row>
    <row r="4" spans="1:34" ht="1" customHeight="1" thickTop="1" thickBot="1">
      <c r="A4" s="3"/>
      <c r="C4" s="37">
        <f>C3-1</f>
        <v>43100</v>
      </c>
      <c r="D4" s="3"/>
      <c r="O4" s="347"/>
      <c r="P4" s="260">
        <f t="shared" ref="P4:P11" si="0">H$56</f>
        <v>49891.107986481511</v>
      </c>
      <c r="Q4" s="169">
        <f>IF(R$2=3,P4,IF(R$2=2,P4*1.0936,IF(R$2=1,P4*0.000568181818*1.0936133,"")))</f>
        <v>31.000897288802665</v>
      </c>
      <c r="R4" s="246"/>
      <c r="S4" s="246"/>
      <c r="T4" s="246"/>
      <c r="U4" s="246"/>
      <c r="V4" s="246"/>
      <c r="W4" s="246"/>
      <c r="X4" s="260"/>
      <c r="Y4" s="260"/>
      <c r="Z4" s="259">
        <v>0</v>
      </c>
      <c r="AA4" s="234"/>
      <c r="AB4" s="230">
        <v>0</v>
      </c>
      <c r="AC4" s="100"/>
      <c r="AD4" s="97"/>
      <c r="AE4" s="97"/>
      <c r="AF4" s="97"/>
    </row>
    <row r="5" spans="1:34">
      <c r="A5" s="26" t="s">
        <v>8</v>
      </c>
      <c r="B5" s="23">
        <f>IF(B$2&gt;C5,0,C5)</f>
        <v>43101</v>
      </c>
      <c r="C5" s="37">
        <f>C3</f>
        <v>43101</v>
      </c>
      <c r="D5" s="24">
        <f t="shared" ref="D5:D51" ca="1" si="1">TODAY()-C5</f>
        <v>37</v>
      </c>
      <c r="E5" s="115" t="str">
        <f>IF(B5=0,"","Monday")</f>
        <v>Monday</v>
      </c>
      <c r="F5" s="55"/>
      <c r="G5" s="56"/>
      <c r="H5" s="56"/>
      <c r="I5" s="199"/>
      <c r="J5" s="56"/>
      <c r="K5" s="201" t="str">
        <f t="shared" ref="K5" si="2">IF(R5=0,"",IF(L5="","",J5))</f>
        <v/>
      </c>
      <c r="L5" s="56"/>
      <c r="M5" s="202" t="str">
        <f>IF(R5=0,"",IF(J5="","",L5))</f>
        <v/>
      </c>
      <c r="N5" s="324"/>
      <c r="O5" s="259">
        <f t="shared" ref="O5:O51" si="3">IF(B5=0,"",(F$3-G$3)/(A$3-B$2)+0.1)</f>
        <v>1609.4439980687869</v>
      </c>
      <c r="P5" s="260">
        <f t="shared" si="0"/>
        <v>49891.107986481511</v>
      </c>
      <c r="Q5" s="169">
        <f t="shared" ref="Q5:Q51" si="4">IF(R$2=3,P5,IF(R$2=2,P5*1.0936,IF(R$2=1,P5*0.000568181818*1.0936133,"")))</f>
        <v>31.000897288802665</v>
      </c>
      <c r="R5" s="169">
        <f>IF(R$2=3,H5+G5/1.0936133+F5/0.0006213712,IF(R$2=2,H5*1.0936133+G5+F5/0.0005681818,IF(R$2=1,H5*0.0005681818*1.0936133+G5*0.0005681818+F5,"")))</f>
        <v>0</v>
      </c>
      <c r="S5" s="369" t="str">
        <f>IF(R5=0,"",R5*IF(L5&gt;0,1,0))</f>
        <v/>
      </c>
      <c r="T5" s="169"/>
      <c r="U5" s="169"/>
      <c r="V5" s="170" t="str">
        <f t="shared" ref="V5:V11" si="5">IF(L5="","",IF(R5=0,"",IF(B5=0,"",IF($R$2=3,R5/L5*60/1000,IF($R$2=2,R5/L5*60/1760,IF($R$2=1,R5/L5*60,""))))))</f>
        <v/>
      </c>
      <c r="W5" s="170" t="str">
        <f t="shared" ref="W5:W11" si="6">IF(R5=0,"",IF(L5="","",V5*L5))</f>
        <v/>
      </c>
      <c r="X5" s="259">
        <f t="shared" ref="X5:Z11" si="7">F5+X4</f>
        <v>0</v>
      </c>
      <c r="Y5" s="259">
        <f t="shared" si="7"/>
        <v>0</v>
      </c>
      <c r="Z5" s="259">
        <f t="shared" si="7"/>
        <v>0</v>
      </c>
      <c r="AA5" s="348">
        <f t="shared" ref="AA5:AA51" si="8">Z5/1000+Y5/1093.6133+X5/0.621371192</f>
        <v>0</v>
      </c>
      <c r="AB5" s="349">
        <f>R5</f>
        <v>0</v>
      </c>
      <c r="AC5" s="120"/>
      <c r="AD5" s="98"/>
      <c r="AE5" s="98"/>
      <c r="AF5" s="98"/>
    </row>
    <row r="6" spans="1:34">
      <c r="A6" s="27"/>
      <c r="B6" s="5">
        <f t="shared" ref="B6:B11" si="9">IF(B$2&gt;C6,0,C6)</f>
        <v>43102</v>
      </c>
      <c r="C6" s="38">
        <f>C3+1</f>
        <v>43102</v>
      </c>
      <c r="D6" s="7">
        <f t="shared" ca="1" si="1"/>
        <v>36</v>
      </c>
      <c r="E6" s="114" t="str">
        <f>IF(B6=0,"","Tuesday")</f>
        <v>Tuesday</v>
      </c>
      <c r="F6" s="55"/>
      <c r="G6" s="56"/>
      <c r="H6" s="56"/>
      <c r="I6" s="200"/>
      <c r="J6" s="56"/>
      <c r="K6" s="201" t="str">
        <f>IF(R6=0,"",IF(L6="","",J6))</f>
        <v/>
      </c>
      <c r="L6" s="56"/>
      <c r="M6" s="202" t="str">
        <f t="shared" ref="M6:M11" si="10">IF(R6=0,"",IF(J6="","",L6))</f>
        <v/>
      </c>
      <c r="N6" s="324"/>
      <c r="O6" s="259">
        <f t="shared" si="3"/>
        <v>1609.4439980687869</v>
      </c>
      <c r="P6" s="260">
        <f t="shared" si="0"/>
        <v>49891.107986481511</v>
      </c>
      <c r="Q6" s="169">
        <f t="shared" si="4"/>
        <v>31.000897288802665</v>
      </c>
      <c r="R6" s="169">
        <f t="shared" ref="R6:R11" si="11">IF(R$2=3,H6+G6/1.0936133+F6/0.0006213712,IF(R$2=2,H6*1.0936133+G6+F6/0.0005681818,IF(R$2=1,H6*0.0005681818*1.0936133+G6*0.0005681818+F6,"")))</f>
        <v>0</v>
      </c>
      <c r="S6" s="369" t="str">
        <f t="shared" ref="S6:S51" si="12">IF(R6=0,"",R6*IF(L6&gt;0,1,0))</f>
        <v/>
      </c>
      <c r="T6" s="169"/>
      <c r="U6" s="169"/>
      <c r="V6" s="170" t="str">
        <f t="shared" si="5"/>
        <v/>
      </c>
      <c r="W6" s="170" t="str">
        <f t="shared" si="6"/>
        <v/>
      </c>
      <c r="X6" s="259">
        <f t="shared" si="7"/>
        <v>0</v>
      </c>
      <c r="Y6" s="259">
        <f t="shared" si="7"/>
        <v>0</v>
      </c>
      <c r="Z6" s="259">
        <f t="shared" si="7"/>
        <v>0</v>
      </c>
      <c r="AA6" s="348">
        <f t="shared" si="8"/>
        <v>0</v>
      </c>
      <c r="AB6" s="274">
        <f t="shared" ref="AB6:AB51" si="13">AB5+R6</f>
        <v>0</v>
      </c>
      <c r="AC6" s="100"/>
      <c r="AD6" s="97"/>
      <c r="AE6" s="97"/>
      <c r="AF6" s="97"/>
      <c r="AH6" s="10"/>
    </row>
    <row r="7" spans="1:34">
      <c r="A7" s="27"/>
      <c r="B7" s="5">
        <f t="shared" si="9"/>
        <v>43103</v>
      </c>
      <c r="C7" s="38">
        <f>C3+2</f>
        <v>43103</v>
      </c>
      <c r="D7" s="7">
        <f t="shared" ca="1" si="1"/>
        <v>35</v>
      </c>
      <c r="E7" s="114" t="str">
        <f>IF(B7=0,"","Wednesday")</f>
        <v>Wednesday</v>
      </c>
      <c r="F7" s="55"/>
      <c r="G7" s="56"/>
      <c r="H7" s="56"/>
      <c r="I7" s="200"/>
      <c r="J7" s="56"/>
      <c r="K7" s="201" t="str">
        <f t="shared" ref="K7:K11" si="14">IF(R7=0,"",IF(L7="","",J7))</f>
        <v/>
      </c>
      <c r="L7" s="56"/>
      <c r="M7" s="202" t="str">
        <f t="shared" si="10"/>
        <v/>
      </c>
      <c r="N7" s="325"/>
      <c r="O7" s="259">
        <f t="shared" si="3"/>
        <v>1609.4439980687869</v>
      </c>
      <c r="P7" s="260">
        <f t="shared" si="0"/>
        <v>49891.107986481511</v>
      </c>
      <c r="Q7" s="169">
        <f t="shared" si="4"/>
        <v>31.000897288802665</v>
      </c>
      <c r="R7" s="169">
        <f t="shared" si="11"/>
        <v>0</v>
      </c>
      <c r="S7" s="369" t="str">
        <f t="shared" si="12"/>
        <v/>
      </c>
      <c r="T7" s="169"/>
      <c r="U7" s="169"/>
      <c r="V7" s="170" t="str">
        <f t="shared" si="5"/>
        <v/>
      </c>
      <c r="W7" s="170" t="str">
        <f t="shared" si="6"/>
        <v/>
      </c>
      <c r="X7" s="259">
        <f t="shared" si="7"/>
        <v>0</v>
      </c>
      <c r="Y7" s="259">
        <f t="shared" si="7"/>
        <v>0</v>
      </c>
      <c r="Z7" s="259">
        <f t="shared" si="7"/>
        <v>0</v>
      </c>
      <c r="AA7" s="348">
        <f t="shared" si="8"/>
        <v>0</v>
      </c>
      <c r="AB7" s="274">
        <f t="shared" si="13"/>
        <v>0</v>
      </c>
      <c r="AC7" s="100"/>
      <c r="AD7" s="97"/>
      <c r="AE7" s="97"/>
      <c r="AF7" s="97"/>
    </row>
    <row r="8" spans="1:34">
      <c r="A8" s="27"/>
      <c r="B8" s="5">
        <f t="shared" si="9"/>
        <v>43104</v>
      </c>
      <c r="C8" s="38">
        <f>C3+3</f>
        <v>43104</v>
      </c>
      <c r="D8" s="7">
        <f t="shared" ca="1" si="1"/>
        <v>34</v>
      </c>
      <c r="E8" s="114" t="str">
        <f>IF(B8=0,"","Thursday")</f>
        <v>Thursday</v>
      </c>
      <c r="F8" s="55"/>
      <c r="G8" s="56"/>
      <c r="H8" s="56"/>
      <c r="I8" s="200"/>
      <c r="J8" s="56"/>
      <c r="K8" s="201" t="str">
        <f t="shared" si="14"/>
        <v/>
      </c>
      <c r="L8" s="56"/>
      <c r="M8" s="202" t="str">
        <f t="shared" si="10"/>
        <v/>
      </c>
      <c r="N8" s="325"/>
      <c r="O8" s="259">
        <f t="shared" si="3"/>
        <v>1609.4439980687869</v>
      </c>
      <c r="P8" s="260">
        <f t="shared" si="0"/>
        <v>49891.107986481511</v>
      </c>
      <c r="Q8" s="169">
        <f t="shared" si="4"/>
        <v>31.000897288802665</v>
      </c>
      <c r="R8" s="169">
        <f t="shared" si="11"/>
        <v>0</v>
      </c>
      <c r="S8" s="369" t="str">
        <f t="shared" si="12"/>
        <v/>
      </c>
      <c r="T8" s="169"/>
      <c r="U8" s="169"/>
      <c r="V8" s="170" t="str">
        <f t="shared" si="5"/>
        <v/>
      </c>
      <c r="W8" s="170" t="str">
        <f t="shared" si="6"/>
        <v/>
      </c>
      <c r="X8" s="259">
        <f t="shared" si="7"/>
        <v>0</v>
      </c>
      <c r="Y8" s="259">
        <f t="shared" si="7"/>
        <v>0</v>
      </c>
      <c r="Z8" s="259">
        <f t="shared" si="7"/>
        <v>0</v>
      </c>
      <c r="AA8" s="348">
        <f t="shared" si="8"/>
        <v>0</v>
      </c>
      <c r="AB8" s="274">
        <f t="shared" si="13"/>
        <v>0</v>
      </c>
      <c r="AC8" s="100"/>
      <c r="AD8" s="97"/>
      <c r="AE8" s="97"/>
      <c r="AF8" s="97"/>
    </row>
    <row r="9" spans="1:34">
      <c r="A9" s="27"/>
      <c r="B9" s="5">
        <f t="shared" si="9"/>
        <v>43105</v>
      </c>
      <c r="C9" s="38">
        <f>C3+4</f>
        <v>43105</v>
      </c>
      <c r="D9" s="7">
        <f t="shared" ca="1" si="1"/>
        <v>33</v>
      </c>
      <c r="E9" s="114" t="str">
        <f>IF(B9=0,"","Friday")</f>
        <v>Friday</v>
      </c>
      <c r="F9" s="55"/>
      <c r="G9" s="56"/>
      <c r="H9" s="56"/>
      <c r="I9" s="200"/>
      <c r="J9" s="56"/>
      <c r="K9" s="201" t="str">
        <f t="shared" si="14"/>
        <v/>
      </c>
      <c r="L9" s="56"/>
      <c r="M9" s="202" t="str">
        <f t="shared" si="10"/>
        <v/>
      </c>
      <c r="N9" s="324"/>
      <c r="O9" s="259">
        <f t="shared" si="3"/>
        <v>1609.4439980687869</v>
      </c>
      <c r="P9" s="260">
        <f t="shared" si="0"/>
        <v>49891.107986481511</v>
      </c>
      <c r="Q9" s="169">
        <f t="shared" si="4"/>
        <v>31.000897288802665</v>
      </c>
      <c r="R9" s="169">
        <f t="shared" si="11"/>
        <v>0</v>
      </c>
      <c r="S9" s="369" t="str">
        <f t="shared" si="12"/>
        <v/>
      </c>
      <c r="T9" s="169"/>
      <c r="U9" s="169"/>
      <c r="V9" s="170" t="str">
        <f t="shared" si="5"/>
        <v/>
      </c>
      <c r="W9" s="170" t="str">
        <f t="shared" si="6"/>
        <v/>
      </c>
      <c r="X9" s="259">
        <f t="shared" si="7"/>
        <v>0</v>
      </c>
      <c r="Y9" s="259">
        <f t="shared" si="7"/>
        <v>0</v>
      </c>
      <c r="Z9" s="259">
        <f t="shared" si="7"/>
        <v>0</v>
      </c>
      <c r="AA9" s="348">
        <f t="shared" si="8"/>
        <v>0</v>
      </c>
      <c r="AB9" s="274">
        <f t="shared" si="13"/>
        <v>0</v>
      </c>
      <c r="AC9" s="100"/>
      <c r="AD9" s="97"/>
      <c r="AE9" s="97"/>
      <c r="AF9" s="97"/>
    </row>
    <row r="10" spans="1:34">
      <c r="A10" s="27"/>
      <c r="B10" s="5">
        <f t="shared" si="9"/>
        <v>43106</v>
      </c>
      <c r="C10" s="38">
        <f>C3+5</f>
        <v>43106</v>
      </c>
      <c r="D10" s="7">
        <f t="shared" ca="1" si="1"/>
        <v>32</v>
      </c>
      <c r="E10" s="114" t="str">
        <f>IF(B10=0,"","Saturday")</f>
        <v>Saturday</v>
      </c>
      <c r="F10" s="55"/>
      <c r="G10" s="56"/>
      <c r="H10" s="56"/>
      <c r="I10" s="200"/>
      <c r="J10" s="56"/>
      <c r="K10" s="201" t="str">
        <f t="shared" si="14"/>
        <v/>
      </c>
      <c r="L10" s="56"/>
      <c r="M10" s="202" t="str">
        <f t="shared" si="10"/>
        <v/>
      </c>
      <c r="N10" s="324"/>
      <c r="O10" s="259">
        <f t="shared" si="3"/>
        <v>1609.4439980687869</v>
      </c>
      <c r="P10" s="260">
        <f t="shared" si="0"/>
        <v>49891.107986481511</v>
      </c>
      <c r="Q10" s="169">
        <f t="shared" si="4"/>
        <v>31.000897288802665</v>
      </c>
      <c r="R10" s="169">
        <f t="shared" si="11"/>
        <v>0</v>
      </c>
      <c r="S10" s="369" t="str">
        <f t="shared" si="12"/>
        <v/>
      </c>
      <c r="T10" s="169"/>
      <c r="U10" s="169"/>
      <c r="V10" s="170" t="str">
        <f t="shared" si="5"/>
        <v/>
      </c>
      <c r="W10" s="170" t="str">
        <f t="shared" si="6"/>
        <v/>
      </c>
      <c r="X10" s="259">
        <f t="shared" si="7"/>
        <v>0</v>
      </c>
      <c r="Y10" s="259">
        <f t="shared" si="7"/>
        <v>0</v>
      </c>
      <c r="Z10" s="259">
        <f t="shared" si="7"/>
        <v>0</v>
      </c>
      <c r="AA10" s="348">
        <f t="shared" si="8"/>
        <v>0</v>
      </c>
      <c r="AB10" s="274">
        <f t="shared" si="13"/>
        <v>0</v>
      </c>
      <c r="AC10" s="100"/>
      <c r="AD10" s="97"/>
      <c r="AE10" s="97"/>
      <c r="AF10" s="97"/>
    </row>
    <row r="11" spans="1:34" ht="16" thickBot="1">
      <c r="A11" s="27"/>
      <c r="B11" s="53">
        <f t="shared" si="9"/>
        <v>43107</v>
      </c>
      <c r="C11" s="41">
        <f>C3+6</f>
        <v>43107</v>
      </c>
      <c r="D11" s="54">
        <f t="shared" ca="1" si="1"/>
        <v>31</v>
      </c>
      <c r="E11" s="117" t="str">
        <f>IF(B11=0,"","Sunday")</f>
        <v>Sunday</v>
      </c>
      <c r="F11" s="55"/>
      <c r="G11" s="56"/>
      <c r="H11" s="56"/>
      <c r="I11" s="200"/>
      <c r="J11" s="56"/>
      <c r="K11" s="201" t="str">
        <f t="shared" si="14"/>
        <v/>
      </c>
      <c r="L11" s="56"/>
      <c r="M11" s="202" t="str">
        <f t="shared" si="10"/>
        <v/>
      </c>
      <c r="N11" s="326"/>
      <c r="O11" s="259">
        <f t="shared" si="3"/>
        <v>1609.4439980687869</v>
      </c>
      <c r="P11" s="260">
        <f t="shared" si="0"/>
        <v>49891.107986481511</v>
      </c>
      <c r="Q11" s="169">
        <f t="shared" si="4"/>
        <v>31.000897288802665</v>
      </c>
      <c r="R11" s="169">
        <f t="shared" si="11"/>
        <v>0</v>
      </c>
      <c r="S11" s="369" t="str">
        <f t="shared" si="12"/>
        <v/>
      </c>
      <c r="T11" s="169"/>
      <c r="U11" s="169"/>
      <c r="V11" s="170" t="str">
        <f t="shared" si="5"/>
        <v/>
      </c>
      <c r="W11" s="170" t="str">
        <f t="shared" si="6"/>
        <v/>
      </c>
      <c r="X11" s="259">
        <f t="shared" si="7"/>
        <v>0</v>
      </c>
      <c r="Y11" s="259">
        <f t="shared" si="7"/>
        <v>0</v>
      </c>
      <c r="Z11" s="259">
        <f t="shared" si="7"/>
        <v>0</v>
      </c>
      <c r="AA11" s="348">
        <f t="shared" ref="AA11" si="15">Z11/1000+Y11/1093.6133+X11/0.621371192</f>
        <v>0</v>
      </c>
      <c r="AB11" s="274">
        <f t="shared" si="13"/>
        <v>0</v>
      </c>
      <c r="AC11" s="100"/>
      <c r="AD11" s="97"/>
      <c r="AE11" s="97"/>
      <c r="AF11" s="97"/>
    </row>
    <row r="12" spans="1:34" ht="16" thickTop="1">
      <c r="A12" s="29"/>
      <c r="B12" s="16"/>
      <c r="C12" s="42"/>
      <c r="D12" s="60">
        <f ca="1">TODAY()-C12</f>
        <v>43138</v>
      </c>
      <c r="E12" s="113" t="s">
        <v>76</v>
      </c>
      <c r="F12" s="59">
        <f ca="1">G12*0.000568181818</f>
        <v>0</v>
      </c>
      <c r="G12" s="19">
        <f ca="1">H12*1.0936113</f>
        <v>0</v>
      </c>
      <c r="H12" s="129">
        <f ca="1">IF(TODAY()&gt;=B5,AA11*1000,-2E-55)</f>
        <v>0</v>
      </c>
      <c r="I12" s="135"/>
      <c r="J12" s="430" t="s">
        <v>121</v>
      </c>
      <c r="K12" s="431"/>
      <c r="L12" s="431"/>
      <c r="M12" s="431"/>
      <c r="N12" s="431"/>
      <c r="O12" s="259" t="str">
        <f t="shared" si="3"/>
        <v/>
      </c>
      <c r="P12" s="260"/>
      <c r="Q12" s="169">
        <f t="shared" si="4"/>
        <v>0</v>
      </c>
      <c r="R12" s="350"/>
      <c r="S12" s="369" t="str">
        <f t="shared" si="12"/>
        <v/>
      </c>
      <c r="T12" s="350"/>
      <c r="U12" s="350"/>
      <c r="V12" s="350"/>
      <c r="W12" s="350"/>
      <c r="X12" s="260"/>
      <c r="Y12" s="260"/>
      <c r="Z12" s="234"/>
      <c r="AA12" s="348">
        <f t="shared" si="8"/>
        <v>0</v>
      </c>
      <c r="AB12" s="274">
        <f t="shared" si="13"/>
        <v>0</v>
      </c>
      <c r="AC12" s="100"/>
      <c r="AD12" s="97"/>
      <c r="AE12" s="97"/>
      <c r="AF12" s="97"/>
    </row>
    <row r="13" spans="1:34" ht="16" thickBot="1">
      <c r="A13" s="28"/>
      <c r="B13" s="17"/>
      <c r="C13" s="39"/>
      <c r="D13" s="61">
        <f ca="1">TODAY()-C13</f>
        <v>43138</v>
      </c>
      <c r="E13" s="116" t="s">
        <v>33</v>
      </c>
      <c r="F13" s="62">
        <f>G13*0.0005681818</f>
        <v>7.0004219356662789</v>
      </c>
      <c r="G13" s="63">
        <f>H13*1.0936113</f>
        <v>12320.743001036426</v>
      </c>
      <c r="H13" s="130">
        <f>SUM($O5:$O11)</f>
        <v>11266.107986481509</v>
      </c>
      <c r="I13" s="136"/>
      <c r="J13" s="428" t="str">
        <f>IF(R$2=1,"MILES &amp; mph",IF(R$2=2,"YARDS &amp; mph",IF(R$2=3,"METRES &amp; km/h","????")))</f>
        <v>MILES &amp; mph</v>
      </c>
      <c r="K13" s="429"/>
      <c r="L13" s="429"/>
      <c r="M13" s="429"/>
      <c r="N13" s="429"/>
      <c r="O13" s="259" t="str">
        <f t="shared" si="3"/>
        <v/>
      </c>
      <c r="P13" s="260"/>
      <c r="Q13" s="169">
        <f t="shared" si="4"/>
        <v>0</v>
      </c>
      <c r="R13" s="351"/>
      <c r="S13" s="369" t="str">
        <f t="shared" si="12"/>
        <v/>
      </c>
      <c r="T13" s="351"/>
      <c r="U13" s="351"/>
      <c r="V13" s="351"/>
      <c r="W13" s="351"/>
      <c r="X13" s="260"/>
      <c r="Y13" s="260"/>
      <c r="Z13" s="234"/>
      <c r="AA13" s="348">
        <f t="shared" si="8"/>
        <v>0</v>
      </c>
      <c r="AB13" s="274">
        <f t="shared" si="13"/>
        <v>0</v>
      </c>
      <c r="AC13" s="100"/>
      <c r="AD13" s="97"/>
      <c r="AE13" s="97"/>
      <c r="AF13" s="97"/>
    </row>
    <row r="14" spans="1:34" ht="16" thickTop="1">
      <c r="A14" s="1" t="s">
        <v>9</v>
      </c>
      <c r="B14" s="57">
        <f t="shared" ref="B14:B20" si="16">IF(B$2&gt;C14,0,C14)</f>
        <v>43108</v>
      </c>
      <c r="C14" s="40">
        <f>C11+1</f>
        <v>43108</v>
      </c>
      <c r="D14" s="22">
        <f t="shared" ca="1" si="1"/>
        <v>30</v>
      </c>
      <c r="E14" s="118" t="s">
        <v>1</v>
      </c>
      <c r="F14" s="55"/>
      <c r="G14" s="56"/>
      <c r="H14" s="56"/>
      <c r="I14" s="136"/>
      <c r="J14" s="193"/>
      <c r="K14" s="203" t="str">
        <f t="shared" ref="K14" si="17">IF(R14=0,"",IF(L14="","",J14))</f>
        <v/>
      </c>
      <c r="L14" s="194"/>
      <c r="M14" s="202" t="str">
        <f>IF(R14=0,"",IF(J14="","",L14))</f>
        <v/>
      </c>
      <c r="N14" s="327"/>
      <c r="O14" s="259">
        <f t="shared" si="3"/>
        <v>1609.4439980687869</v>
      </c>
      <c r="P14" s="260">
        <f t="shared" ref="P14:P20" si="18">H$56</f>
        <v>49891.107986481511</v>
      </c>
      <c r="Q14" s="169">
        <f t="shared" si="4"/>
        <v>31.000897288802665</v>
      </c>
      <c r="R14" s="169">
        <f>IF(R$2=3,H14+G14/1.0936133+F14/0.0006213712,IF(R$2=2,H14*1.0936133+G14+F14/0.0005681818,IF(R$2=1,H14*0.0005681818*1.0936133+G14*0.0005681818+F14,"")))</f>
        <v>0</v>
      </c>
      <c r="S14" s="369" t="str">
        <f t="shared" si="12"/>
        <v/>
      </c>
      <c r="T14" s="169"/>
      <c r="U14" s="169"/>
      <c r="V14" s="170" t="str">
        <f t="shared" ref="V14:V20" si="19">IF(L14="","",IF(R14=0,"",IF(B14=0,"",IF($R$2=3,R14/L14*60/1000,IF($R$2=2,R14/L14*60/1760,IF($R$2=1,R14/L14*60,""))))))</f>
        <v/>
      </c>
      <c r="W14" s="170" t="str">
        <f t="shared" ref="W14:W20" si="20">IF(R14=0,"",IF(L14="","",V14*L14))</f>
        <v/>
      </c>
      <c r="X14" s="259">
        <f>F14+X11</f>
        <v>0</v>
      </c>
      <c r="Y14" s="259">
        <f>G14+Y11</f>
        <v>0</v>
      </c>
      <c r="Z14" s="259">
        <f>H14+Z11</f>
        <v>0</v>
      </c>
      <c r="AA14" s="348">
        <f t="shared" si="8"/>
        <v>0</v>
      </c>
      <c r="AB14" s="274">
        <f t="shared" si="13"/>
        <v>0</v>
      </c>
      <c r="AC14" s="100"/>
      <c r="AD14" s="97"/>
      <c r="AE14" s="97"/>
      <c r="AF14" s="97"/>
    </row>
    <row r="15" spans="1:34">
      <c r="A15" s="1"/>
      <c r="B15" s="5">
        <f t="shared" si="16"/>
        <v>43109</v>
      </c>
      <c r="C15" s="38">
        <f t="shared" ref="C15:C20" si="21">C14+1</f>
        <v>43109</v>
      </c>
      <c r="D15" s="7">
        <f t="shared" ca="1" si="1"/>
        <v>29</v>
      </c>
      <c r="E15" s="114" t="s">
        <v>2</v>
      </c>
      <c r="F15" s="55"/>
      <c r="G15" s="56"/>
      <c r="H15" s="56"/>
      <c r="I15" s="200"/>
      <c r="J15" s="195"/>
      <c r="K15" s="204" t="str">
        <f>IF(R15=0,"",IF(L15="","",J15))</f>
        <v/>
      </c>
      <c r="L15" s="196"/>
      <c r="M15" s="202" t="str">
        <f t="shared" ref="M15:M20" si="22">IF(R15=0,"",IF(J15="","",L15))</f>
        <v/>
      </c>
      <c r="N15" s="328"/>
      <c r="O15" s="259">
        <f t="shared" si="3"/>
        <v>1609.4439980687869</v>
      </c>
      <c r="P15" s="260">
        <f t="shared" si="18"/>
        <v>49891.107986481511</v>
      </c>
      <c r="Q15" s="169">
        <f t="shared" si="4"/>
        <v>31.000897288802665</v>
      </c>
      <c r="R15" s="169">
        <f t="shared" ref="R15:R20" si="23">IF(R$2=3,H15+G15/1.0936133+F15/0.0006213712,IF(R$2=2,H15*1.0936133+G15+F15/0.0005681818,IF(R$2=1,H15*0.0005681818*1.0936133+G15*0.0005681818+F15,"")))</f>
        <v>0</v>
      </c>
      <c r="S15" s="369" t="str">
        <f t="shared" si="12"/>
        <v/>
      </c>
      <c r="T15" s="169"/>
      <c r="U15" s="169"/>
      <c r="V15" s="170" t="str">
        <f t="shared" si="19"/>
        <v/>
      </c>
      <c r="W15" s="170" t="str">
        <f t="shared" si="20"/>
        <v/>
      </c>
      <c r="X15" s="259">
        <f t="shared" ref="X15:Z20" si="24">F15+X14</f>
        <v>0</v>
      </c>
      <c r="Y15" s="259">
        <f t="shared" si="24"/>
        <v>0</v>
      </c>
      <c r="Z15" s="259">
        <f t="shared" si="24"/>
        <v>0</v>
      </c>
      <c r="AA15" s="348">
        <f t="shared" si="8"/>
        <v>0</v>
      </c>
      <c r="AB15" s="274">
        <f t="shared" si="13"/>
        <v>0</v>
      </c>
      <c r="AC15" s="100"/>
      <c r="AD15" s="97"/>
      <c r="AE15" s="97"/>
      <c r="AF15" s="97"/>
    </row>
    <row r="16" spans="1:34">
      <c r="A16" s="1"/>
      <c r="B16" s="5">
        <f t="shared" si="16"/>
        <v>43110</v>
      </c>
      <c r="C16" s="38">
        <f t="shared" si="21"/>
        <v>43110</v>
      </c>
      <c r="D16" s="7">
        <f t="shared" ca="1" si="1"/>
        <v>28</v>
      </c>
      <c r="E16" s="114" t="s">
        <v>3</v>
      </c>
      <c r="F16" s="55"/>
      <c r="G16" s="56"/>
      <c r="H16" s="56"/>
      <c r="I16" s="200"/>
      <c r="J16" s="195"/>
      <c r="K16" s="204" t="str">
        <f t="shared" ref="K16:K20" si="25">IF(R16=0,"",IF(L16="","",J16))</f>
        <v/>
      </c>
      <c r="L16" s="196"/>
      <c r="M16" s="202" t="str">
        <f t="shared" si="22"/>
        <v/>
      </c>
      <c r="N16" s="328"/>
      <c r="O16" s="259">
        <f t="shared" si="3"/>
        <v>1609.4439980687869</v>
      </c>
      <c r="P16" s="260">
        <f t="shared" si="18"/>
        <v>49891.107986481511</v>
      </c>
      <c r="Q16" s="169">
        <f t="shared" si="4"/>
        <v>31.000897288802665</v>
      </c>
      <c r="R16" s="169">
        <f t="shared" si="23"/>
        <v>0</v>
      </c>
      <c r="S16" s="369" t="str">
        <f t="shared" si="12"/>
        <v/>
      </c>
      <c r="T16" s="169"/>
      <c r="U16" s="169"/>
      <c r="V16" s="170" t="str">
        <f t="shared" si="19"/>
        <v/>
      </c>
      <c r="W16" s="170" t="str">
        <f t="shared" si="20"/>
        <v/>
      </c>
      <c r="X16" s="259">
        <f t="shared" si="24"/>
        <v>0</v>
      </c>
      <c r="Y16" s="259">
        <f t="shared" si="24"/>
        <v>0</v>
      </c>
      <c r="Z16" s="259">
        <f t="shared" si="24"/>
        <v>0</v>
      </c>
      <c r="AA16" s="348">
        <f t="shared" si="8"/>
        <v>0</v>
      </c>
      <c r="AB16" s="274">
        <f t="shared" si="13"/>
        <v>0</v>
      </c>
      <c r="AC16" s="100"/>
      <c r="AD16" s="97"/>
      <c r="AE16" s="97"/>
      <c r="AF16" s="97"/>
    </row>
    <row r="17" spans="1:32">
      <c r="A17" s="1"/>
      <c r="B17" s="5">
        <f t="shared" si="16"/>
        <v>43111</v>
      </c>
      <c r="C17" s="38">
        <f t="shared" si="21"/>
        <v>43111</v>
      </c>
      <c r="D17" s="7">
        <f t="shared" ca="1" si="1"/>
        <v>27</v>
      </c>
      <c r="E17" s="114" t="s">
        <v>4</v>
      </c>
      <c r="F17" s="55"/>
      <c r="G17" s="56"/>
      <c r="H17" s="56"/>
      <c r="I17" s="200"/>
      <c r="J17" s="195"/>
      <c r="K17" s="204" t="str">
        <f t="shared" si="25"/>
        <v/>
      </c>
      <c r="L17" s="196"/>
      <c r="M17" s="202" t="str">
        <f t="shared" si="22"/>
        <v/>
      </c>
      <c r="N17" s="328"/>
      <c r="O17" s="259">
        <f t="shared" si="3"/>
        <v>1609.4439980687869</v>
      </c>
      <c r="P17" s="260">
        <f t="shared" si="18"/>
        <v>49891.107986481511</v>
      </c>
      <c r="Q17" s="169">
        <f t="shared" si="4"/>
        <v>31.000897288802665</v>
      </c>
      <c r="R17" s="169">
        <f t="shared" si="23"/>
        <v>0</v>
      </c>
      <c r="S17" s="369" t="str">
        <f t="shared" si="12"/>
        <v/>
      </c>
      <c r="T17" s="169"/>
      <c r="U17" s="169"/>
      <c r="V17" s="170" t="str">
        <f t="shared" si="19"/>
        <v/>
      </c>
      <c r="W17" s="170" t="str">
        <f t="shared" si="20"/>
        <v/>
      </c>
      <c r="X17" s="259">
        <f t="shared" si="24"/>
        <v>0</v>
      </c>
      <c r="Y17" s="259">
        <f t="shared" si="24"/>
        <v>0</v>
      </c>
      <c r="Z17" s="259">
        <f t="shared" si="24"/>
        <v>0</v>
      </c>
      <c r="AA17" s="348">
        <f t="shared" si="8"/>
        <v>0</v>
      </c>
      <c r="AB17" s="274">
        <f t="shared" si="13"/>
        <v>0</v>
      </c>
      <c r="AC17" s="100"/>
      <c r="AD17" s="97"/>
      <c r="AE17" s="97"/>
      <c r="AF17" s="97"/>
    </row>
    <row r="18" spans="1:32">
      <c r="A18" s="1"/>
      <c r="B18" s="5">
        <f t="shared" si="16"/>
        <v>43112</v>
      </c>
      <c r="C18" s="38">
        <f t="shared" si="21"/>
        <v>43112</v>
      </c>
      <c r="D18" s="7">
        <f t="shared" ca="1" si="1"/>
        <v>26</v>
      </c>
      <c r="E18" s="114" t="s">
        <v>5</v>
      </c>
      <c r="F18" s="55"/>
      <c r="G18" s="56"/>
      <c r="H18" s="56"/>
      <c r="I18" s="200"/>
      <c r="J18" s="195"/>
      <c r="K18" s="204" t="str">
        <f t="shared" si="25"/>
        <v/>
      </c>
      <c r="L18" s="196"/>
      <c r="M18" s="202" t="str">
        <f t="shared" si="22"/>
        <v/>
      </c>
      <c r="N18" s="324"/>
      <c r="O18" s="259">
        <f t="shared" si="3"/>
        <v>1609.4439980687869</v>
      </c>
      <c r="P18" s="260">
        <f t="shared" si="18"/>
        <v>49891.107986481511</v>
      </c>
      <c r="Q18" s="169">
        <f t="shared" si="4"/>
        <v>31.000897288802665</v>
      </c>
      <c r="R18" s="169">
        <f t="shared" si="23"/>
        <v>0</v>
      </c>
      <c r="S18" s="369" t="str">
        <f t="shared" si="12"/>
        <v/>
      </c>
      <c r="T18" s="169"/>
      <c r="U18" s="169"/>
      <c r="V18" s="170" t="str">
        <f t="shared" si="19"/>
        <v/>
      </c>
      <c r="W18" s="170" t="str">
        <f t="shared" si="20"/>
        <v/>
      </c>
      <c r="X18" s="259">
        <f t="shared" si="24"/>
        <v>0</v>
      </c>
      <c r="Y18" s="259">
        <f t="shared" si="24"/>
        <v>0</v>
      </c>
      <c r="Z18" s="259">
        <f t="shared" si="24"/>
        <v>0</v>
      </c>
      <c r="AA18" s="348">
        <f t="shared" si="8"/>
        <v>0</v>
      </c>
      <c r="AB18" s="274">
        <f t="shared" si="13"/>
        <v>0</v>
      </c>
      <c r="AC18" s="100"/>
      <c r="AD18" s="97"/>
      <c r="AE18" s="97"/>
      <c r="AF18" s="97"/>
    </row>
    <row r="19" spans="1:32">
      <c r="A19" s="1"/>
      <c r="B19" s="5">
        <f t="shared" si="16"/>
        <v>43113</v>
      </c>
      <c r="C19" s="38">
        <f t="shared" si="21"/>
        <v>43113</v>
      </c>
      <c r="D19" s="7">
        <f t="shared" ca="1" si="1"/>
        <v>25</v>
      </c>
      <c r="E19" s="114" t="s">
        <v>6</v>
      </c>
      <c r="F19" s="55"/>
      <c r="G19" s="56"/>
      <c r="H19" s="56"/>
      <c r="I19" s="200"/>
      <c r="J19" s="195"/>
      <c r="K19" s="204" t="str">
        <f t="shared" si="25"/>
        <v/>
      </c>
      <c r="L19" s="196"/>
      <c r="M19" s="202" t="str">
        <f t="shared" si="22"/>
        <v/>
      </c>
      <c r="N19" s="324"/>
      <c r="O19" s="259">
        <f t="shared" si="3"/>
        <v>1609.4439980687869</v>
      </c>
      <c r="P19" s="260">
        <f t="shared" si="18"/>
        <v>49891.107986481511</v>
      </c>
      <c r="Q19" s="169">
        <f t="shared" si="4"/>
        <v>31.000897288802665</v>
      </c>
      <c r="R19" s="169">
        <f t="shared" si="23"/>
        <v>0</v>
      </c>
      <c r="S19" s="369" t="str">
        <f t="shared" si="12"/>
        <v/>
      </c>
      <c r="T19" s="169"/>
      <c r="U19" s="169"/>
      <c r="V19" s="170" t="str">
        <f t="shared" si="19"/>
        <v/>
      </c>
      <c r="W19" s="170" t="str">
        <f t="shared" si="20"/>
        <v/>
      </c>
      <c r="X19" s="259">
        <f t="shared" si="24"/>
        <v>0</v>
      </c>
      <c r="Y19" s="259">
        <f t="shared" si="24"/>
        <v>0</v>
      </c>
      <c r="Z19" s="259">
        <f t="shared" si="24"/>
        <v>0</v>
      </c>
      <c r="AA19" s="348">
        <f t="shared" si="8"/>
        <v>0</v>
      </c>
      <c r="AB19" s="274">
        <f t="shared" si="13"/>
        <v>0</v>
      </c>
      <c r="AC19" s="100"/>
      <c r="AD19" s="97"/>
      <c r="AE19" s="97"/>
      <c r="AF19" s="97"/>
    </row>
    <row r="20" spans="1:32" ht="16" thickBot="1">
      <c r="A20" s="1"/>
      <c r="B20" s="53">
        <f t="shared" si="16"/>
        <v>43114</v>
      </c>
      <c r="C20" s="41">
        <f t="shared" si="21"/>
        <v>43114</v>
      </c>
      <c r="D20" s="54">
        <f t="shared" ca="1" si="1"/>
        <v>24</v>
      </c>
      <c r="E20" s="117" t="s">
        <v>7</v>
      </c>
      <c r="F20" s="55"/>
      <c r="G20" s="56"/>
      <c r="H20" s="56"/>
      <c r="I20" s="200"/>
      <c r="J20" s="197"/>
      <c r="K20" s="205" t="str">
        <f t="shared" si="25"/>
        <v/>
      </c>
      <c r="L20" s="198"/>
      <c r="M20" s="202" t="str">
        <f t="shared" si="22"/>
        <v/>
      </c>
      <c r="N20" s="329"/>
      <c r="O20" s="259">
        <f t="shared" si="3"/>
        <v>1609.4439980687869</v>
      </c>
      <c r="P20" s="260">
        <f t="shared" si="18"/>
        <v>49891.107986481511</v>
      </c>
      <c r="Q20" s="169">
        <f t="shared" si="4"/>
        <v>31.000897288802665</v>
      </c>
      <c r="R20" s="169">
        <f t="shared" si="23"/>
        <v>0</v>
      </c>
      <c r="S20" s="369" t="str">
        <f t="shared" si="12"/>
        <v/>
      </c>
      <c r="T20" s="169"/>
      <c r="U20" s="169"/>
      <c r="V20" s="170" t="str">
        <f t="shared" si="19"/>
        <v/>
      </c>
      <c r="W20" s="170" t="str">
        <f t="shared" si="20"/>
        <v/>
      </c>
      <c r="X20" s="259">
        <f t="shared" si="24"/>
        <v>0</v>
      </c>
      <c r="Y20" s="259">
        <f t="shared" si="24"/>
        <v>0</v>
      </c>
      <c r="Z20" s="259">
        <f t="shared" si="24"/>
        <v>0</v>
      </c>
      <c r="AA20" s="348">
        <f t="shared" si="8"/>
        <v>0</v>
      </c>
      <c r="AB20" s="274">
        <f t="shared" si="13"/>
        <v>0</v>
      </c>
      <c r="AC20" s="100"/>
      <c r="AD20" s="97"/>
      <c r="AE20" s="97"/>
      <c r="AF20" s="97"/>
    </row>
    <row r="21" spans="1:32" ht="16" thickTop="1">
      <c r="A21" s="29"/>
      <c r="B21" s="16"/>
      <c r="C21" s="42"/>
      <c r="D21" s="60">
        <f ca="1">TODAY()-C21</f>
        <v>43138</v>
      </c>
      <c r="E21" s="113" t="s">
        <v>76</v>
      </c>
      <c r="F21" s="59">
        <f ca="1">G21*0.000568181818</f>
        <v>0</v>
      </c>
      <c r="G21" s="19">
        <f ca="1">H21*1.0936113</f>
        <v>0</v>
      </c>
      <c r="H21" s="129">
        <f ca="1">IF(TODAY()&gt;=B14,(AA20-AA11)*1000,-2E-55)</f>
        <v>0</v>
      </c>
      <c r="I21" s="152"/>
      <c r="J21" s="436" t="str">
        <f>IF(R21=0,"",#REF!)</f>
        <v/>
      </c>
      <c r="K21" s="437"/>
      <c r="L21" s="437"/>
      <c r="M21" s="437"/>
      <c r="N21" s="437"/>
      <c r="O21" s="259" t="str">
        <f t="shared" si="3"/>
        <v/>
      </c>
      <c r="P21" s="260"/>
      <c r="Q21" s="169">
        <f t="shared" si="4"/>
        <v>0</v>
      </c>
      <c r="R21" s="350"/>
      <c r="S21" s="369" t="str">
        <f t="shared" si="12"/>
        <v/>
      </c>
      <c r="T21" s="350"/>
      <c r="U21" s="350"/>
      <c r="V21" s="350"/>
      <c r="W21" s="350"/>
      <c r="X21" s="234"/>
      <c r="Y21" s="234"/>
      <c r="Z21" s="234"/>
      <c r="AA21" s="348">
        <f t="shared" si="8"/>
        <v>0</v>
      </c>
      <c r="AB21" s="274">
        <f t="shared" si="13"/>
        <v>0</v>
      </c>
      <c r="AC21" s="100"/>
      <c r="AD21" s="97"/>
      <c r="AE21" s="97"/>
      <c r="AF21" s="97"/>
    </row>
    <row r="22" spans="1:32" ht="16" thickBot="1">
      <c r="A22" s="28"/>
      <c r="B22" s="17"/>
      <c r="C22" s="39"/>
      <c r="D22" s="61">
        <f ca="1">TODAY()-C22</f>
        <v>43138</v>
      </c>
      <c r="E22" s="116" t="s">
        <v>33</v>
      </c>
      <c r="F22" s="62">
        <f>G22*0.0005681818</f>
        <v>7.0003548361022752</v>
      </c>
      <c r="G22" s="63">
        <f>H22*1.0936113</f>
        <v>12320.624905800001</v>
      </c>
      <c r="H22" s="131">
        <f>INT(SUM($O14:$O20))</f>
        <v>11266</v>
      </c>
      <c r="I22" s="153"/>
      <c r="J22" s="438"/>
      <c r="K22" s="439"/>
      <c r="L22" s="439"/>
      <c r="M22" s="439"/>
      <c r="N22" s="439"/>
      <c r="O22" s="259" t="str">
        <f t="shared" si="3"/>
        <v/>
      </c>
      <c r="P22" s="260"/>
      <c r="Q22" s="169">
        <f t="shared" si="4"/>
        <v>0</v>
      </c>
      <c r="R22" s="351"/>
      <c r="S22" s="369" t="str">
        <f t="shared" si="12"/>
        <v/>
      </c>
      <c r="T22" s="351"/>
      <c r="U22" s="351"/>
      <c r="V22" s="351"/>
      <c r="W22" s="351"/>
      <c r="X22" s="234"/>
      <c r="Y22" s="234"/>
      <c r="Z22" s="234"/>
      <c r="AA22" s="348">
        <f t="shared" si="8"/>
        <v>0</v>
      </c>
      <c r="AB22" s="274">
        <f t="shared" si="13"/>
        <v>0</v>
      </c>
      <c r="AC22" s="100"/>
      <c r="AD22" s="97"/>
      <c r="AE22" s="97"/>
      <c r="AF22" s="97"/>
    </row>
    <row r="23" spans="1:32" ht="16" thickTop="1">
      <c r="A23" s="1" t="s">
        <v>10</v>
      </c>
      <c r="B23" s="57">
        <f t="shared" ref="B23:B29" si="26">IF(B$2&gt;C23,0,C23)</f>
        <v>43115</v>
      </c>
      <c r="C23" s="40">
        <f>C20+1</f>
        <v>43115</v>
      </c>
      <c r="D23" s="22">
        <f t="shared" ca="1" si="1"/>
        <v>23</v>
      </c>
      <c r="E23" s="118" t="s">
        <v>1</v>
      </c>
      <c r="F23" s="55"/>
      <c r="G23" s="56"/>
      <c r="H23" s="56"/>
      <c r="I23" s="200"/>
      <c r="J23" s="128"/>
      <c r="K23" s="201" t="str">
        <f t="shared" ref="K23" si="27">IF(R23=0,"",IF(L23="","",J23))</f>
        <v/>
      </c>
      <c r="L23" s="128"/>
      <c r="M23" s="202" t="str">
        <f>IF(R23=0,"",IF(J23="","",L23))</f>
        <v/>
      </c>
      <c r="N23" s="330"/>
      <c r="O23" s="259">
        <f t="shared" si="3"/>
        <v>1609.4439980687869</v>
      </c>
      <c r="P23" s="260">
        <f t="shared" ref="P23:P29" si="28">H$56</f>
        <v>49891.107986481511</v>
      </c>
      <c r="Q23" s="169">
        <f t="shared" si="4"/>
        <v>31.000897288802665</v>
      </c>
      <c r="R23" s="169">
        <f>IF(R$2=3,H23+G23/1.0936133+F23/0.0006213712,IF(R$2=2,H23*1.0936133+G23+F23/0.0005681818,IF(R$2=1,H23*0.0005681818*1.0936133+G23*0.0005681818+F23,"")))</f>
        <v>0</v>
      </c>
      <c r="S23" s="369" t="str">
        <f t="shared" si="12"/>
        <v/>
      </c>
      <c r="T23" s="169"/>
      <c r="U23" s="169"/>
      <c r="V23" s="170" t="str">
        <f t="shared" ref="V23:V29" si="29">IF(L23="","",IF(R23=0,"",IF(B23=0,"",IF($R$2=3,R23/L23*60/1000,IF($R$2=2,R23/L23*60/1760,IF($R$2=1,R23/L23*60,""))))))</f>
        <v/>
      </c>
      <c r="W23" s="170" t="str">
        <f t="shared" ref="W23:W29" si="30">IF(R23=0,"",IF(L23="","",V23*L23))</f>
        <v/>
      </c>
      <c r="X23" s="259">
        <f>F23+X20</f>
        <v>0</v>
      </c>
      <c r="Y23" s="259">
        <f>G23+Y20</f>
        <v>0</v>
      </c>
      <c r="Z23" s="259">
        <f>H23+Z20</f>
        <v>0</v>
      </c>
      <c r="AA23" s="348">
        <f t="shared" si="8"/>
        <v>0</v>
      </c>
      <c r="AB23" s="274">
        <f t="shared" si="13"/>
        <v>0</v>
      </c>
      <c r="AC23" s="100"/>
      <c r="AD23" s="97"/>
      <c r="AE23" s="97"/>
      <c r="AF23" s="97"/>
    </row>
    <row r="24" spans="1:32">
      <c r="A24" s="1"/>
      <c r="B24" s="5">
        <f t="shared" si="26"/>
        <v>43116</v>
      </c>
      <c r="C24" s="38">
        <f t="shared" ref="C24:C29" si="31">C23+1</f>
        <v>43116</v>
      </c>
      <c r="D24" s="7">
        <f t="shared" ca="1" si="1"/>
        <v>22</v>
      </c>
      <c r="E24" s="114" t="s">
        <v>2</v>
      </c>
      <c r="F24" s="55"/>
      <c r="G24" s="56"/>
      <c r="H24" s="56"/>
      <c r="I24" s="200"/>
      <c r="J24" s="56"/>
      <c r="K24" s="201" t="str">
        <f>IF(R24=0,"",IF(L24="","",J24))</f>
        <v/>
      </c>
      <c r="L24" s="56"/>
      <c r="M24" s="202" t="str">
        <f t="shared" ref="M24:M29" si="32">IF(R24=0,"",IF(J24="","",L24))</f>
        <v/>
      </c>
      <c r="N24" s="324"/>
      <c r="O24" s="259">
        <f t="shared" si="3"/>
        <v>1609.4439980687869</v>
      </c>
      <c r="P24" s="260">
        <f t="shared" si="28"/>
        <v>49891.107986481511</v>
      </c>
      <c r="Q24" s="169">
        <f t="shared" si="4"/>
        <v>31.000897288802665</v>
      </c>
      <c r="R24" s="169">
        <f t="shared" ref="R24:R29" si="33">IF(R$2=3,H24+G24/1.0936133+F24/0.0006213712,IF(R$2=2,H24*1.0936133+G24+F24/0.0005681818,IF(R$2=1,H24*0.0005681818*1.0936133+G24*0.0005681818+F24,"")))</f>
        <v>0</v>
      </c>
      <c r="S24" s="369" t="str">
        <f t="shared" si="12"/>
        <v/>
      </c>
      <c r="T24" s="169"/>
      <c r="U24" s="169"/>
      <c r="V24" s="170" t="str">
        <f t="shared" si="29"/>
        <v/>
      </c>
      <c r="W24" s="170" t="str">
        <f t="shared" si="30"/>
        <v/>
      </c>
      <c r="X24" s="259">
        <f t="shared" ref="X24:Z29" si="34">F24+X23</f>
        <v>0</v>
      </c>
      <c r="Y24" s="259">
        <f t="shared" si="34"/>
        <v>0</v>
      </c>
      <c r="Z24" s="259">
        <f t="shared" si="34"/>
        <v>0</v>
      </c>
      <c r="AA24" s="348">
        <f t="shared" si="8"/>
        <v>0</v>
      </c>
      <c r="AB24" s="274">
        <f t="shared" si="13"/>
        <v>0</v>
      </c>
      <c r="AC24" s="100"/>
      <c r="AD24" s="97"/>
      <c r="AE24" s="97"/>
      <c r="AF24" s="97"/>
    </row>
    <row r="25" spans="1:32">
      <c r="A25" s="1"/>
      <c r="B25" s="5">
        <f t="shared" si="26"/>
        <v>43117</v>
      </c>
      <c r="C25" s="38">
        <f t="shared" si="31"/>
        <v>43117</v>
      </c>
      <c r="D25" s="7">
        <f t="shared" ca="1" si="1"/>
        <v>21</v>
      </c>
      <c r="E25" s="114" t="s">
        <v>3</v>
      </c>
      <c r="F25" s="55"/>
      <c r="G25" s="56"/>
      <c r="H25" s="56"/>
      <c r="I25" s="200"/>
      <c r="J25" s="56"/>
      <c r="K25" s="201" t="str">
        <f t="shared" ref="K25:K29" si="35">IF(R25=0,"",IF(L25="","",J25))</f>
        <v/>
      </c>
      <c r="L25" s="56"/>
      <c r="M25" s="202" t="str">
        <f t="shared" si="32"/>
        <v/>
      </c>
      <c r="N25" s="324"/>
      <c r="O25" s="259">
        <f t="shared" si="3"/>
        <v>1609.4439980687869</v>
      </c>
      <c r="P25" s="260">
        <f t="shared" si="28"/>
        <v>49891.107986481511</v>
      </c>
      <c r="Q25" s="169">
        <f t="shared" si="4"/>
        <v>31.000897288802665</v>
      </c>
      <c r="R25" s="169">
        <f t="shared" si="33"/>
        <v>0</v>
      </c>
      <c r="S25" s="369" t="str">
        <f t="shared" si="12"/>
        <v/>
      </c>
      <c r="T25" s="169"/>
      <c r="U25" s="169"/>
      <c r="V25" s="170" t="str">
        <f t="shared" si="29"/>
        <v/>
      </c>
      <c r="W25" s="170" t="str">
        <f t="shared" si="30"/>
        <v/>
      </c>
      <c r="X25" s="259">
        <f t="shared" si="34"/>
        <v>0</v>
      </c>
      <c r="Y25" s="259">
        <f t="shared" si="34"/>
        <v>0</v>
      </c>
      <c r="Z25" s="259">
        <f t="shared" si="34"/>
        <v>0</v>
      </c>
      <c r="AA25" s="348">
        <f t="shared" si="8"/>
        <v>0</v>
      </c>
      <c r="AB25" s="274">
        <f t="shared" si="13"/>
        <v>0</v>
      </c>
      <c r="AC25" s="100"/>
      <c r="AD25" s="97"/>
      <c r="AE25" s="97"/>
      <c r="AF25" s="97"/>
    </row>
    <row r="26" spans="1:32">
      <c r="A26" s="1"/>
      <c r="B26" s="5">
        <f t="shared" si="26"/>
        <v>43118</v>
      </c>
      <c r="C26" s="38">
        <f t="shared" si="31"/>
        <v>43118</v>
      </c>
      <c r="D26" s="7">
        <f t="shared" ca="1" si="1"/>
        <v>20</v>
      </c>
      <c r="E26" s="114" t="s">
        <v>4</v>
      </c>
      <c r="F26" s="55"/>
      <c r="G26" s="56"/>
      <c r="H26" s="56"/>
      <c r="I26" s="200"/>
      <c r="J26" s="56"/>
      <c r="K26" s="201" t="str">
        <f t="shared" si="35"/>
        <v/>
      </c>
      <c r="L26" s="56"/>
      <c r="M26" s="202" t="str">
        <f t="shared" si="32"/>
        <v/>
      </c>
      <c r="N26" s="324"/>
      <c r="O26" s="259">
        <f t="shared" si="3"/>
        <v>1609.4439980687869</v>
      </c>
      <c r="P26" s="260">
        <f t="shared" si="28"/>
        <v>49891.107986481511</v>
      </c>
      <c r="Q26" s="169">
        <f t="shared" si="4"/>
        <v>31.000897288802665</v>
      </c>
      <c r="R26" s="169">
        <f t="shared" si="33"/>
        <v>0</v>
      </c>
      <c r="S26" s="369" t="str">
        <f t="shared" si="12"/>
        <v/>
      </c>
      <c r="T26" s="169"/>
      <c r="U26" s="169"/>
      <c r="V26" s="170" t="str">
        <f t="shared" si="29"/>
        <v/>
      </c>
      <c r="W26" s="170" t="str">
        <f t="shared" si="30"/>
        <v/>
      </c>
      <c r="X26" s="259">
        <f t="shared" si="34"/>
        <v>0</v>
      </c>
      <c r="Y26" s="259">
        <f t="shared" si="34"/>
        <v>0</v>
      </c>
      <c r="Z26" s="259">
        <f t="shared" si="34"/>
        <v>0</v>
      </c>
      <c r="AA26" s="348">
        <f t="shared" si="8"/>
        <v>0</v>
      </c>
      <c r="AB26" s="274">
        <f t="shared" si="13"/>
        <v>0</v>
      </c>
      <c r="AC26" s="100"/>
      <c r="AD26" s="97"/>
      <c r="AE26" s="97"/>
      <c r="AF26" s="97"/>
    </row>
    <row r="27" spans="1:32">
      <c r="A27" s="1"/>
      <c r="B27" s="5">
        <f t="shared" si="26"/>
        <v>43119</v>
      </c>
      <c r="C27" s="38">
        <f t="shared" si="31"/>
        <v>43119</v>
      </c>
      <c r="D27" s="7">
        <f t="shared" ca="1" si="1"/>
        <v>19</v>
      </c>
      <c r="E27" s="114" t="s">
        <v>5</v>
      </c>
      <c r="F27" s="55"/>
      <c r="G27" s="56"/>
      <c r="H27" s="56"/>
      <c r="I27" s="200"/>
      <c r="J27" s="56"/>
      <c r="K27" s="201" t="str">
        <f t="shared" si="35"/>
        <v/>
      </c>
      <c r="L27" s="56"/>
      <c r="M27" s="202" t="str">
        <f t="shared" si="32"/>
        <v/>
      </c>
      <c r="N27" s="324"/>
      <c r="O27" s="259">
        <f t="shared" si="3"/>
        <v>1609.4439980687869</v>
      </c>
      <c r="P27" s="260">
        <f t="shared" si="28"/>
        <v>49891.107986481511</v>
      </c>
      <c r="Q27" s="169">
        <f t="shared" si="4"/>
        <v>31.000897288802665</v>
      </c>
      <c r="R27" s="169">
        <f t="shared" si="33"/>
        <v>0</v>
      </c>
      <c r="S27" s="369" t="str">
        <f t="shared" si="12"/>
        <v/>
      </c>
      <c r="T27" s="169"/>
      <c r="U27" s="169"/>
      <c r="V27" s="170" t="str">
        <f t="shared" si="29"/>
        <v/>
      </c>
      <c r="W27" s="170" t="str">
        <f t="shared" si="30"/>
        <v/>
      </c>
      <c r="X27" s="259">
        <f t="shared" si="34"/>
        <v>0</v>
      </c>
      <c r="Y27" s="259">
        <f t="shared" si="34"/>
        <v>0</v>
      </c>
      <c r="Z27" s="259">
        <f t="shared" si="34"/>
        <v>0</v>
      </c>
      <c r="AA27" s="348">
        <f t="shared" si="8"/>
        <v>0</v>
      </c>
      <c r="AB27" s="274">
        <f t="shared" si="13"/>
        <v>0</v>
      </c>
      <c r="AC27" s="100"/>
      <c r="AD27" s="97"/>
      <c r="AE27" s="97"/>
      <c r="AF27" s="97"/>
    </row>
    <row r="28" spans="1:32">
      <c r="A28" s="1"/>
      <c r="B28" s="5">
        <f t="shared" si="26"/>
        <v>43120</v>
      </c>
      <c r="C28" s="38">
        <f t="shared" si="31"/>
        <v>43120</v>
      </c>
      <c r="D28" s="7">
        <f t="shared" ca="1" si="1"/>
        <v>18</v>
      </c>
      <c r="E28" s="114" t="s">
        <v>6</v>
      </c>
      <c r="F28" s="55"/>
      <c r="G28" s="56"/>
      <c r="H28" s="56"/>
      <c r="I28" s="200"/>
      <c r="J28" s="56"/>
      <c r="K28" s="201" t="str">
        <f t="shared" si="35"/>
        <v/>
      </c>
      <c r="L28" s="56"/>
      <c r="M28" s="202" t="str">
        <f t="shared" si="32"/>
        <v/>
      </c>
      <c r="N28" s="324"/>
      <c r="O28" s="259">
        <f t="shared" si="3"/>
        <v>1609.4439980687869</v>
      </c>
      <c r="P28" s="260">
        <f t="shared" si="28"/>
        <v>49891.107986481511</v>
      </c>
      <c r="Q28" s="169">
        <f t="shared" si="4"/>
        <v>31.000897288802665</v>
      </c>
      <c r="R28" s="169">
        <f t="shared" si="33"/>
        <v>0</v>
      </c>
      <c r="S28" s="369" t="str">
        <f t="shared" si="12"/>
        <v/>
      </c>
      <c r="T28" s="169"/>
      <c r="U28" s="169"/>
      <c r="V28" s="170" t="str">
        <f t="shared" si="29"/>
        <v/>
      </c>
      <c r="W28" s="170" t="str">
        <f t="shared" si="30"/>
        <v/>
      </c>
      <c r="X28" s="259">
        <f t="shared" si="34"/>
        <v>0</v>
      </c>
      <c r="Y28" s="259">
        <f t="shared" si="34"/>
        <v>0</v>
      </c>
      <c r="Z28" s="259">
        <f t="shared" si="34"/>
        <v>0</v>
      </c>
      <c r="AA28" s="348">
        <f t="shared" si="8"/>
        <v>0</v>
      </c>
      <c r="AB28" s="274">
        <f t="shared" si="13"/>
        <v>0</v>
      </c>
      <c r="AC28" s="100"/>
      <c r="AD28" s="97"/>
      <c r="AE28" s="97"/>
      <c r="AF28" s="97"/>
    </row>
    <row r="29" spans="1:32" ht="16" thickBot="1">
      <c r="A29" s="1"/>
      <c r="B29" s="53">
        <f t="shared" si="26"/>
        <v>43121</v>
      </c>
      <c r="C29" s="41">
        <f t="shared" si="31"/>
        <v>43121</v>
      </c>
      <c r="D29" s="54">
        <f t="shared" ca="1" si="1"/>
        <v>17</v>
      </c>
      <c r="E29" s="117" t="s">
        <v>7</v>
      </c>
      <c r="F29" s="55"/>
      <c r="G29" s="56"/>
      <c r="H29" s="56"/>
      <c r="I29" s="200"/>
      <c r="J29" s="56"/>
      <c r="K29" s="201" t="str">
        <f t="shared" si="35"/>
        <v/>
      </c>
      <c r="L29" s="56"/>
      <c r="M29" s="202" t="str">
        <f t="shared" si="32"/>
        <v/>
      </c>
      <c r="N29" s="329"/>
      <c r="O29" s="259">
        <f t="shared" si="3"/>
        <v>1609.4439980687869</v>
      </c>
      <c r="P29" s="260">
        <f t="shared" si="28"/>
        <v>49891.107986481511</v>
      </c>
      <c r="Q29" s="169">
        <f t="shared" si="4"/>
        <v>31.000897288802665</v>
      </c>
      <c r="R29" s="169">
        <f t="shared" si="33"/>
        <v>0</v>
      </c>
      <c r="S29" s="369" t="str">
        <f t="shared" si="12"/>
        <v/>
      </c>
      <c r="T29" s="169"/>
      <c r="U29" s="169"/>
      <c r="V29" s="170" t="str">
        <f t="shared" si="29"/>
        <v/>
      </c>
      <c r="W29" s="170" t="str">
        <f t="shared" si="30"/>
        <v/>
      </c>
      <c r="X29" s="259">
        <f t="shared" si="34"/>
        <v>0</v>
      </c>
      <c r="Y29" s="259">
        <f t="shared" si="34"/>
        <v>0</v>
      </c>
      <c r="Z29" s="259">
        <f t="shared" si="34"/>
        <v>0</v>
      </c>
      <c r="AA29" s="348">
        <f t="shared" si="8"/>
        <v>0</v>
      </c>
      <c r="AB29" s="274">
        <f t="shared" si="13"/>
        <v>0</v>
      </c>
      <c r="AC29" s="100"/>
      <c r="AD29" s="97"/>
      <c r="AE29" s="97"/>
      <c r="AF29" s="97"/>
    </row>
    <row r="30" spans="1:32" ht="16" thickTop="1">
      <c r="A30" s="29"/>
      <c r="B30" s="16"/>
      <c r="C30" s="42"/>
      <c r="D30" s="60">
        <f ca="1">TODAY()-C30</f>
        <v>43138</v>
      </c>
      <c r="E30" s="113" t="s">
        <v>76</v>
      </c>
      <c r="F30" s="59">
        <f ca="1">G30*0.000568181818</f>
        <v>0</v>
      </c>
      <c r="G30" s="19">
        <f ca="1">H30*1.0936113</f>
        <v>0</v>
      </c>
      <c r="H30" s="129">
        <f ca="1">IF(TODAY()&gt;=B23,(AA29-AA20)*1000,-2E-55)</f>
        <v>0</v>
      </c>
      <c r="I30" s="152"/>
      <c r="J30" s="424" t="s">
        <v>121</v>
      </c>
      <c r="K30" s="425"/>
      <c r="L30" s="425"/>
      <c r="M30" s="425"/>
      <c r="N30" s="425"/>
      <c r="O30" s="259" t="str">
        <f t="shared" si="3"/>
        <v/>
      </c>
      <c r="P30" s="260"/>
      <c r="Q30" s="169">
        <f t="shared" si="4"/>
        <v>0</v>
      </c>
      <c r="R30" s="350"/>
      <c r="S30" s="369" t="str">
        <f t="shared" si="12"/>
        <v/>
      </c>
      <c r="T30" s="350"/>
      <c r="U30" s="350"/>
      <c r="V30" s="350"/>
      <c r="W30" s="350"/>
      <c r="X30" s="234"/>
      <c r="Y30" s="234"/>
      <c r="Z30" s="234"/>
      <c r="AA30" s="348">
        <f t="shared" si="8"/>
        <v>0</v>
      </c>
      <c r="AB30" s="274">
        <f t="shared" si="13"/>
        <v>0</v>
      </c>
      <c r="AC30" s="100"/>
      <c r="AD30" s="97"/>
      <c r="AE30" s="97"/>
      <c r="AF30" s="97"/>
    </row>
    <row r="31" spans="1:32" ht="19" thickBot="1">
      <c r="A31" s="28"/>
      <c r="B31" s="17"/>
      <c r="C31" s="39"/>
      <c r="D31" s="61">
        <f ca="1">TODAY()-C31</f>
        <v>43138</v>
      </c>
      <c r="E31" s="116" t="s">
        <v>33</v>
      </c>
      <c r="F31" s="62">
        <f>G31*0.0005681818</f>
        <v>7.0003548361022752</v>
      </c>
      <c r="G31" s="63">
        <f>H31*1.0936113</f>
        <v>12320.624905800001</v>
      </c>
      <c r="H31" s="131">
        <f>INT(SUM($O23:$O29))</f>
        <v>11266</v>
      </c>
      <c r="I31" s="153"/>
      <c r="J31" s="426" t="str">
        <f>IF(R$2=1,"mph",IF(R$2=2,"mph",IF(R$2=3," km/h","????")))</f>
        <v>mph</v>
      </c>
      <c r="K31" s="427"/>
      <c r="L31" s="427"/>
      <c r="M31" s="427"/>
      <c r="N31" s="427"/>
      <c r="O31" s="259" t="str">
        <f t="shared" si="3"/>
        <v/>
      </c>
      <c r="P31" s="260"/>
      <c r="Q31" s="169">
        <f t="shared" si="4"/>
        <v>0</v>
      </c>
      <c r="R31" s="351"/>
      <c r="S31" s="369" t="str">
        <f t="shared" si="12"/>
        <v/>
      </c>
      <c r="T31" s="351"/>
      <c r="U31" s="351"/>
      <c r="V31" s="351"/>
      <c r="W31" s="351"/>
      <c r="X31" s="234"/>
      <c r="Y31" s="234"/>
      <c r="Z31" s="234"/>
      <c r="AA31" s="348">
        <f t="shared" si="8"/>
        <v>0</v>
      </c>
      <c r="AB31" s="274">
        <f t="shared" si="13"/>
        <v>0</v>
      </c>
      <c r="AC31" s="100"/>
      <c r="AD31" s="97"/>
      <c r="AE31" s="97"/>
      <c r="AF31" s="97"/>
    </row>
    <row r="32" spans="1:32" ht="16" thickTop="1">
      <c r="A32" s="1" t="s">
        <v>11</v>
      </c>
      <c r="B32" s="57">
        <f t="shared" ref="B32:B38" si="36">IF(B$2&gt;C32,0,C32)</f>
        <v>43122</v>
      </c>
      <c r="C32" s="40">
        <f>C29+1</f>
        <v>43122</v>
      </c>
      <c r="D32" s="22">
        <f t="shared" ca="1" si="1"/>
        <v>16</v>
      </c>
      <c r="E32" s="118" t="s">
        <v>1</v>
      </c>
      <c r="F32" s="55"/>
      <c r="G32" s="56"/>
      <c r="H32" s="56"/>
      <c r="I32" s="200"/>
      <c r="J32" s="128"/>
      <c r="K32" s="201" t="str">
        <f t="shared" ref="K32" si="37">IF(R32=0,"",IF(L32="","",J32))</f>
        <v/>
      </c>
      <c r="L32" s="154"/>
      <c r="M32" s="202" t="str">
        <f>IF(R32=0,"",IF(J32="","",L32))</f>
        <v/>
      </c>
      <c r="N32" s="330"/>
      <c r="O32" s="259">
        <f t="shared" si="3"/>
        <v>1609.4439980687869</v>
      </c>
      <c r="P32" s="260">
        <f t="shared" ref="P32:P38" si="38">H$56</f>
        <v>49891.107986481511</v>
      </c>
      <c r="Q32" s="169">
        <f t="shared" si="4"/>
        <v>31.000897288802665</v>
      </c>
      <c r="R32" s="169">
        <f>IF(R$2=3,H32+G32/1.0936133+F32/0.0006213712,IF(R$2=2,H32*1.0936133+G32+F32/0.0005681818,IF(R$2=1,H32*0.0005681818*1.0936133+G32*0.0005681818+F32,"")))</f>
        <v>0</v>
      </c>
      <c r="S32" s="369" t="str">
        <f t="shared" si="12"/>
        <v/>
      </c>
      <c r="T32" s="169"/>
      <c r="U32" s="169"/>
      <c r="V32" s="170" t="str">
        <f t="shared" ref="V32:V38" si="39">IF(L32="","",IF(R32=0,"",IF(B32=0,"",IF($R$2=3,R32/L32*60/1000,IF($R$2=2,R32/L32*60/1760,IF($R$2=1,R32/L32*60,""))))))</f>
        <v/>
      </c>
      <c r="W32" s="170" t="str">
        <f t="shared" ref="W32:W38" si="40">IF(R32=0,"",IF(L32="","",V32*L32))</f>
        <v/>
      </c>
      <c r="X32" s="259">
        <f>F32+X29</f>
        <v>0</v>
      </c>
      <c r="Y32" s="259">
        <f>G32+Y29</f>
        <v>0</v>
      </c>
      <c r="Z32" s="259">
        <f>H32+Z29</f>
        <v>0</v>
      </c>
      <c r="AA32" s="348">
        <f t="shared" si="8"/>
        <v>0</v>
      </c>
      <c r="AB32" s="274">
        <f t="shared" si="13"/>
        <v>0</v>
      </c>
      <c r="AC32" s="100"/>
      <c r="AD32" s="97"/>
      <c r="AE32" s="97"/>
      <c r="AF32" s="97"/>
    </row>
    <row r="33" spans="1:32">
      <c r="A33" s="1"/>
      <c r="B33" s="5">
        <f t="shared" si="36"/>
        <v>43123</v>
      </c>
      <c r="C33" s="38">
        <f t="shared" ref="C33:C38" si="41">C32+1</f>
        <v>43123</v>
      </c>
      <c r="D33" s="7">
        <f t="shared" ca="1" si="1"/>
        <v>15</v>
      </c>
      <c r="E33" s="114" t="s">
        <v>2</v>
      </c>
      <c r="F33" s="55"/>
      <c r="G33" s="56"/>
      <c r="H33" s="56"/>
      <c r="I33" s="200"/>
      <c r="J33" s="56"/>
      <c r="K33" s="201" t="str">
        <f>IF(R33=0,"",IF(L33="","",J33))</f>
        <v/>
      </c>
      <c r="L33" s="56"/>
      <c r="M33" s="202" t="str">
        <f t="shared" ref="M33:M38" si="42">IF(R33=0,"",IF(J33="","",L33))</f>
        <v/>
      </c>
      <c r="N33" s="324"/>
      <c r="O33" s="259">
        <f t="shared" si="3"/>
        <v>1609.4439980687869</v>
      </c>
      <c r="P33" s="260">
        <f t="shared" si="38"/>
        <v>49891.107986481511</v>
      </c>
      <c r="Q33" s="169">
        <f t="shared" si="4"/>
        <v>31.000897288802665</v>
      </c>
      <c r="R33" s="169">
        <f t="shared" ref="R33:R38" si="43">IF(R$2=3,H33+G33/1.0936133+F33/0.0006213712,IF(R$2=2,H33*1.0936133+G33+F33/0.0005681818,IF(R$2=1,H33*0.0005681818*1.0936133+G33*0.0005681818+F33,"")))</f>
        <v>0</v>
      </c>
      <c r="S33" s="369" t="str">
        <f t="shared" si="12"/>
        <v/>
      </c>
      <c r="T33" s="169"/>
      <c r="U33" s="169"/>
      <c r="V33" s="170" t="str">
        <f t="shared" si="39"/>
        <v/>
      </c>
      <c r="W33" s="170" t="str">
        <f t="shared" si="40"/>
        <v/>
      </c>
      <c r="X33" s="259">
        <f t="shared" ref="X33:Z38" si="44">F33+X32</f>
        <v>0</v>
      </c>
      <c r="Y33" s="259">
        <f t="shared" si="44"/>
        <v>0</v>
      </c>
      <c r="Z33" s="259">
        <f t="shared" si="44"/>
        <v>0</v>
      </c>
      <c r="AA33" s="348">
        <f t="shared" si="8"/>
        <v>0</v>
      </c>
      <c r="AB33" s="274">
        <f t="shared" si="13"/>
        <v>0</v>
      </c>
      <c r="AC33" s="100"/>
      <c r="AD33" s="97"/>
      <c r="AE33" s="97"/>
      <c r="AF33" s="97"/>
    </row>
    <row r="34" spans="1:32">
      <c r="A34" s="1"/>
      <c r="B34" s="5">
        <f t="shared" si="36"/>
        <v>43124</v>
      </c>
      <c r="C34" s="38">
        <f t="shared" si="41"/>
        <v>43124</v>
      </c>
      <c r="D34" s="7">
        <f t="shared" ca="1" si="1"/>
        <v>14</v>
      </c>
      <c r="E34" s="114" t="s">
        <v>3</v>
      </c>
      <c r="F34" s="55"/>
      <c r="G34" s="56"/>
      <c r="H34" s="56"/>
      <c r="I34" s="200"/>
      <c r="J34" s="56"/>
      <c r="K34" s="201" t="str">
        <f t="shared" ref="K34:K38" si="45">IF(R34=0,"",IF(L34="","",J34))</f>
        <v/>
      </c>
      <c r="L34" s="56"/>
      <c r="M34" s="202" t="str">
        <f t="shared" si="42"/>
        <v/>
      </c>
      <c r="N34" s="324"/>
      <c r="O34" s="259">
        <f t="shared" si="3"/>
        <v>1609.4439980687869</v>
      </c>
      <c r="P34" s="260">
        <f t="shared" si="38"/>
        <v>49891.107986481511</v>
      </c>
      <c r="Q34" s="169">
        <f t="shared" si="4"/>
        <v>31.000897288802665</v>
      </c>
      <c r="R34" s="169">
        <f t="shared" si="43"/>
        <v>0</v>
      </c>
      <c r="S34" s="369" t="str">
        <f t="shared" si="12"/>
        <v/>
      </c>
      <c r="T34" s="169"/>
      <c r="U34" s="169"/>
      <c r="V34" s="170" t="str">
        <f t="shared" si="39"/>
        <v/>
      </c>
      <c r="W34" s="170" t="str">
        <f t="shared" si="40"/>
        <v/>
      </c>
      <c r="X34" s="259">
        <f t="shared" si="44"/>
        <v>0</v>
      </c>
      <c r="Y34" s="259">
        <f t="shared" si="44"/>
        <v>0</v>
      </c>
      <c r="Z34" s="259">
        <f t="shared" si="44"/>
        <v>0</v>
      </c>
      <c r="AA34" s="348">
        <f t="shared" si="8"/>
        <v>0</v>
      </c>
      <c r="AB34" s="274">
        <f t="shared" si="13"/>
        <v>0</v>
      </c>
      <c r="AC34" s="100"/>
      <c r="AD34" s="97"/>
      <c r="AE34" s="97"/>
      <c r="AF34" s="97"/>
    </row>
    <row r="35" spans="1:32">
      <c r="A35" s="1"/>
      <c r="B35" s="5">
        <f t="shared" si="36"/>
        <v>43125</v>
      </c>
      <c r="C35" s="38">
        <f t="shared" si="41"/>
        <v>43125</v>
      </c>
      <c r="D35" s="7">
        <f t="shared" ca="1" si="1"/>
        <v>13</v>
      </c>
      <c r="E35" s="114" t="s">
        <v>4</v>
      </c>
      <c r="F35" s="55"/>
      <c r="G35" s="56"/>
      <c r="H35" s="56"/>
      <c r="I35" s="200"/>
      <c r="J35" s="56"/>
      <c r="K35" s="201" t="str">
        <f t="shared" si="45"/>
        <v/>
      </c>
      <c r="L35" s="56"/>
      <c r="M35" s="202" t="str">
        <f t="shared" si="42"/>
        <v/>
      </c>
      <c r="N35" s="324"/>
      <c r="O35" s="259">
        <f t="shared" si="3"/>
        <v>1609.4439980687869</v>
      </c>
      <c r="P35" s="260">
        <f t="shared" si="38"/>
        <v>49891.107986481511</v>
      </c>
      <c r="Q35" s="169">
        <f t="shared" si="4"/>
        <v>31.000897288802665</v>
      </c>
      <c r="R35" s="169">
        <f t="shared" si="43"/>
        <v>0</v>
      </c>
      <c r="S35" s="369" t="str">
        <f t="shared" si="12"/>
        <v/>
      </c>
      <c r="T35" s="169"/>
      <c r="U35" s="169"/>
      <c r="V35" s="170" t="str">
        <f t="shared" si="39"/>
        <v/>
      </c>
      <c r="W35" s="170" t="str">
        <f t="shared" si="40"/>
        <v/>
      </c>
      <c r="X35" s="259">
        <f t="shared" si="44"/>
        <v>0</v>
      </c>
      <c r="Y35" s="259">
        <f t="shared" si="44"/>
        <v>0</v>
      </c>
      <c r="Z35" s="259">
        <f t="shared" si="44"/>
        <v>0</v>
      </c>
      <c r="AA35" s="348">
        <f t="shared" si="8"/>
        <v>0</v>
      </c>
      <c r="AB35" s="274">
        <f t="shared" si="13"/>
        <v>0</v>
      </c>
      <c r="AC35" s="100"/>
      <c r="AD35" s="97"/>
      <c r="AE35" s="97"/>
      <c r="AF35" s="97"/>
    </row>
    <row r="36" spans="1:32">
      <c r="A36" s="1"/>
      <c r="B36" s="5">
        <f t="shared" si="36"/>
        <v>43126</v>
      </c>
      <c r="C36" s="38">
        <f t="shared" si="41"/>
        <v>43126</v>
      </c>
      <c r="D36" s="7">
        <f t="shared" ca="1" si="1"/>
        <v>12</v>
      </c>
      <c r="E36" s="114" t="s">
        <v>5</v>
      </c>
      <c r="F36" s="55"/>
      <c r="G36" s="56"/>
      <c r="H36" s="56"/>
      <c r="I36" s="200"/>
      <c r="J36" s="56"/>
      <c r="K36" s="201" t="str">
        <f t="shared" si="45"/>
        <v/>
      </c>
      <c r="L36" s="56"/>
      <c r="M36" s="202" t="str">
        <f t="shared" si="42"/>
        <v/>
      </c>
      <c r="N36" s="324"/>
      <c r="O36" s="259">
        <f t="shared" si="3"/>
        <v>1609.4439980687869</v>
      </c>
      <c r="P36" s="260">
        <f t="shared" si="38"/>
        <v>49891.107986481511</v>
      </c>
      <c r="Q36" s="169">
        <f t="shared" si="4"/>
        <v>31.000897288802665</v>
      </c>
      <c r="R36" s="169">
        <f t="shared" si="43"/>
        <v>0</v>
      </c>
      <c r="S36" s="369" t="str">
        <f t="shared" si="12"/>
        <v/>
      </c>
      <c r="T36" s="169"/>
      <c r="U36" s="169"/>
      <c r="V36" s="170" t="str">
        <f t="shared" si="39"/>
        <v/>
      </c>
      <c r="W36" s="170" t="str">
        <f t="shared" si="40"/>
        <v/>
      </c>
      <c r="X36" s="259">
        <f t="shared" si="44"/>
        <v>0</v>
      </c>
      <c r="Y36" s="259">
        <f t="shared" si="44"/>
        <v>0</v>
      </c>
      <c r="Z36" s="259">
        <f t="shared" si="44"/>
        <v>0</v>
      </c>
      <c r="AA36" s="348">
        <f t="shared" si="8"/>
        <v>0</v>
      </c>
      <c r="AB36" s="274">
        <f t="shared" si="13"/>
        <v>0</v>
      </c>
      <c r="AC36" s="100"/>
      <c r="AD36" s="97"/>
      <c r="AE36" s="97"/>
      <c r="AF36" s="97"/>
    </row>
    <row r="37" spans="1:32">
      <c r="A37" s="1"/>
      <c r="B37" s="5">
        <f t="shared" si="36"/>
        <v>43127</v>
      </c>
      <c r="C37" s="38">
        <f t="shared" si="41"/>
        <v>43127</v>
      </c>
      <c r="D37" s="7">
        <f t="shared" ca="1" si="1"/>
        <v>11</v>
      </c>
      <c r="E37" s="114" t="s">
        <v>6</v>
      </c>
      <c r="F37" s="55"/>
      <c r="G37" s="56"/>
      <c r="H37" s="56"/>
      <c r="I37" s="200"/>
      <c r="J37" s="56"/>
      <c r="K37" s="201" t="str">
        <f t="shared" si="45"/>
        <v/>
      </c>
      <c r="L37" s="56"/>
      <c r="M37" s="202" t="str">
        <f t="shared" si="42"/>
        <v/>
      </c>
      <c r="N37" s="324"/>
      <c r="O37" s="259">
        <f t="shared" si="3"/>
        <v>1609.4439980687869</v>
      </c>
      <c r="P37" s="260">
        <f t="shared" si="38"/>
        <v>49891.107986481511</v>
      </c>
      <c r="Q37" s="169">
        <f t="shared" si="4"/>
        <v>31.000897288802665</v>
      </c>
      <c r="R37" s="169">
        <f t="shared" si="43"/>
        <v>0</v>
      </c>
      <c r="S37" s="369" t="str">
        <f t="shared" si="12"/>
        <v/>
      </c>
      <c r="T37" s="169"/>
      <c r="U37" s="169"/>
      <c r="V37" s="170" t="str">
        <f t="shared" si="39"/>
        <v/>
      </c>
      <c r="W37" s="170" t="str">
        <f t="shared" si="40"/>
        <v/>
      </c>
      <c r="X37" s="259">
        <f t="shared" si="44"/>
        <v>0</v>
      </c>
      <c r="Y37" s="259">
        <f t="shared" si="44"/>
        <v>0</v>
      </c>
      <c r="Z37" s="259">
        <f t="shared" si="44"/>
        <v>0</v>
      </c>
      <c r="AA37" s="348">
        <f t="shared" si="8"/>
        <v>0</v>
      </c>
      <c r="AB37" s="274">
        <f t="shared" si="13"/>
        <v>0</v>
      </c>
      <c r="AC37" s="100"/>
      <c r="AD37" s="97"/>
      <c r="AE37" s="97"/>
      <c r="AF37" s="97"/>
    </row>
    <row r="38" spans="1:32" ht="16" thickBot="1">
      <c r="A38" s="1"/>
      <c r="B38" s="53">
        <f t="shared" si="36"/>
        <v>43128</v>
      </c>
      <c r="C38" s="41">
        <f t="shared" si="41"/>
        <v>43128</v>
      </c>
      <c r="D38" s="54">
        <f t="shared" ca="1" si="1"/>
        <v>10</v>
      </c>
      <c r="E38" s="117" t="s">
        <v>7</v>
      </c>
      <c r="F38" s="55"/>
      <c r="G38" s="56"/>
      <c r="H38" s="56"/>
      <c r="I38" s="200"/>
      <c r="J38" s="56"/>
      <c r="K38" s="201" t="str">
        <f t="shared" si="45"/>
        <v/>
      </c>
      <c r="L38" s="56"/>
      <c r="M38" s="202" t="str">
        <f t="shared" si="42"/>
        <v/>
      </c>
      <c r="N38" s="329"/>
      <c r="O38" s="259">
        <f t="shared" si="3"/>
        <v>1609.4439980687869</v>
      </c>
      <c r="P38" s="260">
        <f t="shared" si="38"/>
        <v>49891.107986481511</v>
      </c>
      <c r="Q38" s="169">
        <f t="shared" si="4"/>
        <v>31.000897288802665</v>
      </c>
      <c r="R38" s="169">
        <f t="shared" si="43"/>
        <v>0</v>
      </c>
      <c r="S38" s="369" t="str">
        <f t="shared" si="12"/>
        <v/>
      </c>
      <c r="T38" s="169"/>
      <c r="U38" s="169"/>
      <c r="V38" s="170" t="str">
        <f t="shared" si="39"/>
        <v/>
      </c>
      <c r="W38" s="170" t="str">
        <f t="shared" si="40"/>
        <v/>
      </c>
      <c r="X38" s="259">
        <f t="shared" si="44"/>
        <v>0</v>
      </c>
      <c r="Y38" s="259">
        <f t="shared" si="44"/>
        <v>0</v>
      </c>
      <c r="Z38" s="259">
        <f t="shared" si="44"/>
        <v>0</v>
      </c>
      <c r="AA38" s="348">
        <f t="shared" si="8"/>
        <v>0</v>
      </c>
      <c r="AB38" s="274">
        <f t="shared" si="13"/>
        <v>0</v>
      </c>
      <c r="AC38" s="100"/>
      <c r="AD38" s="97"/>
      <c r="AE38" s="97"/>
      <c r="AF38" s="97"/>
    </row>
    <row r="39" spans="1:32" ht="16" thickTop="1">
      <c r="A39" s="29"/>
      <c r="B39" s="16"/>
      <c r="C39" s="42"/>
      <c r="D39" s="60">
        <f ca="1">TODAY()-C39</f>
        <v>43138</v>
      </c>
      <c r="E39" s="113" t="s">
        <v>76</v>
      </c>
      <c r="F39" s="59">
        <f ca="1">G39*0.000568181818</f>
        <v>0</v>
      </c>
      <c r="G39" s="19">
        <f ca="1">H39*1.0936113</f>
        <v>0</v>
      </c>
      <c r="H39" s="20">
        <f ca="1">IF(TODAY()&gt;=B32,(AA38-AA29)*1000,-2E-55)</f>
        <v>0</v>
      </c>
      <c r="I39" s="152"/>
      <c r="J39" s="218" t="s">
        <v>137</v>
      </c>
      <c r="K39" s="155"/>
      <c r="L39" s="219" t="s">
        <v>138</v>
      </c>
      <c r="M39" s="155"/>
      <c r="N39" s="331" t="s">
        <v>139</v>
      </c>
      <c r="O39" s="259" t="str">
        <f t="shared" si="3"/>
        <v/>
      </c>
      <c r="P39" s="260"/>
      <c r="Q39" s="169">
        <f t="shared" si="4"/>
        <v>0</v>
      </c>
      <c r="R39" s="350"/>
      <c r="S39" s="369" t="str">
        <f t="shared" si="12"/>
        <v/>
      </c>
      <c r="T39" s="350"/>
      <c r="U39" s="350"/>
      <c r="V39" s="350"/>
      <c r="W39" s="350"/>
      <c r="X39" s="234"/>
      <c r="Y39" s="234"/>
      <c r="Z39" s="234"/>
      <c r="AA39" s="348">
        <f t="shared" si="8"/>
        <v>0</v>
      </c>
      <c r="AB39" s="274">
        <f t="shared" si="13"/>
        <v>0</v>
      </c>
      <c r="AC39" s="100"/>
      <c r="AD39" s="97"/>
      <c r="AE39" s="97"/>
      <c r="AF39" s="97"/>
    </row>
    <row r="40" spans="1:32" ht="16" thickBot="1">
      <c r="A40" s="28"/>
      <c r="B40" s="17"/>
      <c r="C40" s="39"/>
      <c r="D40" s="61">
        <f ca="1">TODAY()-C40</f>
        <v>43138</v>
      </c>
      <c r="E40" s="116" t="s">
        <v>33</v>
      </c>
      <c r="F40" s="62">
        <f>G40*0.0005681818</f>
        <v>7.0003548361022752</v>
      </c>
      <c r="G40" s="63">
        <f>H40*1.0936113</f>
        <v>12320.624905800001</v>
      </c>
      <c r="H40" s="6">
        <f>INT(SUM($O32:$O38))</f>
        <v>11266</v>
      </c>
      <c r="I40" s="153"/>
      <c r="J40" s="156"/>
      <c r="K40" s="157"/>
      <c r="L40" s="217">
        <f>COUNT(S5:S51)-COUNT(V5:V51)</f>
        <v>0</v>
      </c>
      <c r="M40" s="157"/>
      <c r="N40" s="157"/>
      <c r="O40" s="259" t="str">
        <f t="shared" si="3"/>
        <v/>
      </c>
      <c r="P40" s="260"/>
      <c r="Q40" s="169">
        <f t="shared" si="4"/>
        <v>0</v>
      </c>
      <c r="R40" s="351"/>
      <c r="S40" s="369" t="str">
        <f t="shared" si="12"/>
        <v/>
      </c>
      <c r="T40" s="351"/>
      <c r="U40" s="351"/>
      <c r="V40" s="351"/>
      <c r="W40" s="351"/>
      <c r="X40" s="234"/>
      <c r="Y40" s="234"/>
      <c r="Z40" s="234"/>
      <c r="AA40" s="348">
        <f t="shared" si="8"/>
        <v>0</v>
      </c>
      <c r="AB40" s="274">
        <f t="shared" si="13"/>
        <v>0</v>
      </c>
      <c r="AC40" s="100"/>
      <c r="AD40" s="97"/>
      <c r="AE40" s="97"/>
      <c r="AF40" s="97"/>
    </row>
    <row r="41" spans="1:32" ht="16" thickTop="1">
      <c r="A41" s="1" t="s">
        <v>12</v>
      </c>
      <c r="B41" s="57">
        <f t="shared" ref="B41:B47" si="46">IF(B$3&lt;C41,0,C41)</f>
        <v>43129</v>
      </c>
      <c r="C41" s="40">
        <f>C38+1</f>
        <v>43129</v>
      </c>
      <c r="D41" s="22">
        <f t="shared" ca="1" si="1"/>
        <v>9</v>
      </c>
      <c r="E41" s="118" t="str">
        <f>IF(B41=0,"","Monday")</f>
        <v>Monday</v>
      </c>
      <c r="F41" s="55"/>
      <c r="G41" s="56"/>
      <c r="H41" s="56"/>
      <c r="I41" s="200"/>
      <c r="J41" s="128"/>
      <c r="K41" s="201" t="str">
        <f t="shared" ref="K41" si="47">IF(R41=0,"",IF(L41="","",J41))</f>
        <v/>
      </c>
      <c r="L41" s="128"/>
      <c r="M41" s="202" t="str">
        <f>IF(R41=0,"",IF(J41="","",L41))</f>
        <v/>
      </c>
      <c r="N41" s="330"/>
      <c r="O41" s="259">
        <f t="shared" si="3"/>
        <v>1609.4439980687869</v>
      </c>
      <c r="P41" s="260">
        <f t="shared" ref="P41:P47" si="48">H$56</f>
        <v>49891.107986481511</v>
      </c>
      <c r="Q41" s="169">
        <f t="shared" si="4"/>
        <v>31.000897288802665</v>
      </c>
      <c r="R41" s="169">
        <f>IF(R$2=3,H41+G41/1.0936133+F41/0.0006213712,IF(R$2=2,H41*1.0936133+G41+F41/0.0005681818,IF(R$2=1,H41*0.0005681818*1.0936133+G41*0.0005681818+F41,"")))</f>
        <v>0</v>
      </c>
      <c r="S41" s="369" t="str">
        <f t="shared" si="12"/>
        <v/>
      </c>
      <c r="T41" s="169"/>
      <c r="U41" s="169"/>
      <c r="V41" s="170" t="str">
        <f t="shared" ref="V41:V47" si="49">IF(L41="","",IF(R41=0,"",IF(B41=0,"",IF($R$2=3,R41/L41*60/1000,IF($R$2=2,R41/L41*60/1760,IF($R$2=1,R41/L41*60,""))))))</f>
        <v/>
      </c>
      <c r="W41" s="170" t="str">
        <f t="shared" ref="W41:W47" si="50">IF(R41=0,"",IF(L41="","",V41*L41))</f>
        <v/>
      </c>
      <c r="X41" s="259">
        <f>F41+X38</f>
        <v>0</v>
      </c>
      <c r="Y41" s="259">
        <f>G41+Y38</f>
        <v>0</v>
      </c>
      <c r="Z41" s="259">
        <f>H41+Z38</f>
        <v>0</v>
      </c>
      <c r="AA41" s="348">
        <f t="shared" si="8"/>
        <v>0</v>
      </c>
      <c r="AB41" s="274">
        <f t="shared" si="13"/>
        <v>0</v>
      </c>
      <c r="AC41" s="100"/>
      <c r="AD41" s="97"/>
      <c r="AE41" s="97"/>
      <c r="AF41" s="97"/>
    </row>
    <row r="42" spans="1:32">
      <c r="A42" s="1"/>
      <c r="B42" s="5">
        <f t="shared" si="46"/>
        <v>43130</v>
      </c>
      <c r="C42" s="38">
        <f t="shared" ref="C42:C47" si="51">C41+1</f>
        <v>43130</v>
      </c>
      <c r="D42" s="7">
        <f t="shared" ca="1" si="1"/>
        <v>8</v>
      </c>
      <c r="E42" s="114" t="str">
        <f>IF(B42=0,"","Tuesday")</f>
        <v>Tuesday</v>
      </c>
      <c r="F42" s="55"/>
      <c r="G42" s="56"/>
      <c r="H42" s="56"/>
      <c r="I42" s="200"/>
      <c r="J42" s="56"/>
      <c r="K42" s="201" t="str">
        <f>IF(R42=0,"",IF(L42="","",J42))</f>
        <v/>
      </c>
      <c r="L42" s="56"/>
      <c r="M42" s="202" t="str">
        <f t="shared" ref="M42:M47" si="52">IF(R42=0,"",IF(J42="","",L42))</f>
        <v/>
      </c>
      <c r="N42" s="324"/>
      <c r="O42" s="259">
        <f t="shared" si="3"/>
        <v>1609.4439980687869</v>
      </c>
      <c r="P42" s="260">
        <f t="shared" si="48"/>
        <v>49891.107986481511</v>
      </c>
      <c r="Q42" s="169">
        <f t="shared" si="4"/>
        <v>31.000897288802665</v>
      </c>
      <c r="R42" s="169">
        <f t="shared" ref="R42:R47" si="53">IF(R$2=3,H42+G42/1.0936133+F42/0.0006213712,IF(R$2=2,H42*1.0936133+G42+F42/0.0005681818,IF(R$2=1,H42*0.0005681818*1.0936133+G42*0.0005681818+F42,"")))</f>
        <v>0</v>
      </c>
      <c r="S42" s="369" t="str">
        <f t="shared" si="12"/>
        <v/>
      </c>
      <c r="T42" s="169"/>
      <c r="U42" s="169"/>
      <c r="V42" s="170" t="str">
        <f t="shared" si="49"/>
        <v/>
      </c>
      <c r="W42" s="170" t="str">
        <f t="shared" si="50"/>
        <v/>
      </c>
      <c r="X42" s="259">
        <f t="shared" ref="X42:Z47" si="54">F42+X41</f>
        <v>0</v>
      </c>
      <c r="Y42" s="259">
        <f t="shared" si="54"/>
        <v>0</v>
      </c>
      <c r="Z42" s="259">
        <f t="shared" si="54"/>
        <v>0</v>
      </c>
      <c r="AA42" s="348">
        <f t="shared" si="8"/>
        <v>0</v>
      </c>
      <c r="AB42" s="274">
        <f t="shared" si="13"/>
        <v>0</v>
      </c>
      <c r="AC42" s="100"/>
      <c r="AD42" s="97"/>
      <c r="AE42" s="97"/>
      <c r="AF42" s="97"/>
    </row>
    <row r="43" spans="1:32">
      <c r="A43" s="1"/>
      <c r="B43" s="5">
        <f t="shared" si="46"/>
        <v>43131</v>
      </c>
      <c r="C43" s="38">
        <f t="shared" si="51"/>
        <v>43131</v>
      </c>
      <c r="D43" s="7">
        <f t="shared" ca="1" si="1"/>
        <v>7</v>
      </c>
      <c r="E43" s="114" t="str">
        <f>IF(B43=0,"","Wednesday")</f>
        <v>Wednesday</v>
      </c>
      <c r="F43" s="55"/>
      <c r="G43" s="56"/>
      <c r="H43" s="56"/>
      <c r="I43" s="200"/>
      <c r="J43" s="56"/>
      <c r="K43" s="201" t="str">
        <f t="shared" ref="K43:K47" si="55">IF(R43=0,"",IF(L43="","",J43))</f>
        <v/>
      </c>
      <c r="L43" s="56"/>
      <c r="M43" s="202" t="str">
        <f t="shared" si="52"/>
        <v/>
      </c>
      <c r="N43" s="324"/>
      <c r="O43" s="259">
        <f t="shared" si="3"/>
        <v>1609.4439980687869</v>
      </c>
      <c r="P43" s="260">
        <f t="shared" si="48"/>
        <v>49891.107986481511</v>
      </c>
      <c r="Q43" s="169">
        <f t="shared" si="4"/>
        <v>31.000897288802665</v>
      </c>
      <c r="R43" s="169">
        <f t="shared" si="53"/>
        <v>0</v>
      </c>
      <c r="S43" s="369" t="str">
        <f t="shared" si="12"/>
        <v/>
      </c>
      <c r="T43" s="169"/>
      <c r="U43" s="169"/>
      <c r="V43" s="170" t="str">
        <f t="shared" si="49"/>
        <v/>
      </c>
      <c r="W43" s="170" t="str">
        <f t="shared" si="50"/>
        <v/>
      </c>
      <c r="X43" s="259">
        <f t="shared" si="54"/>
        <v>0</v>
      </c>
      <c r="Y43" s="259">
        <f t="shared" si="54"/>
        <v>0</v>
      </c>
      <c r="Z43" s="259">
        <f t="shared" si="54"/>
        <v>0</v>
      </c>
      <c r="AA43" s="348">
        <f t="shared" si="8"/>
        <v>0</v>
      </c>
      <c r="AB43" s="274">
        <f t="shared" si="13"/>
        <v>0</v>
      </c>
      <c r="AC43" s="100"/>
      <c r="AD43" s="97"/>
      <c r="AE43" s="97"/>
      <c r="AF43" s="97"/>
    </row>
    <row r="44" spans="1:32">
      <c r="A44" s="1"/>
      <c r="B44" s="5">
        <f t="shared" si="46"/>
        <v>0</v>
      </c>
      <c r="C44" s="38">
        <f t="shared" si="51"/>
        <v>43132</v>
      </c>
      <c r="D44" s="7">
        <f t="shared" ca="1" si="1"/>
        <v>6</v>
      </c>
      <c r="E44" s="114" t="str">
        <f>IF(B44=0,"","Thursday")</f>
        <v/>
      </c>
      <c r="F44" s="55"/>
      <c r="G44" s="56"/>
      <c r="H44" s="56"/>
      <c r="I44" s="200"/>
      <c r="J44" s="56"/>
      <c r="K44" s="201" t="str">
        <f t="shared" si="55"/>
        <v/>
      </c>
      <c r="L44" s="56"/>
      <c r="M44" s="202" t="str">
        <f t="shared" si="52"/>
        <v/>
      </c>
      <c r="N44" s="324"/>
      <c r="O44" s="259" t="str">
        <f t="shared" si="3"/>
        <v/>
      </c>
      <c r="P44" s="260">
        <f t="shared" si="48"/>
        <v>49891.107986481511</v>
      </c>
      <c r="Q44" s="169">
        <f t="shared" si="4"/>
        <v>31.000897288802665</v>
      </c>
      <c r="R44" s="169">
        <f t="shared" si="53"/>
        <v>0</v>
      </c>
      <c r="S44" s="369" t="str">
        <f t="shared" si="12"/>
        <v/>
      </c>
      <c r="T44" s="169"/>
      <c r="U44" s="169"/>
      <c r="V44" s="170" t="str">
        <f t="shared" si="49"/>
        <v/>
      </c>
      <c r="W44" s="170" t="str">
        <f t="shared" si="50"/>
        <v/>
      </c>
      <c r="X44" s="259">
        <f t="shared" si="54"/>
        <v>0</v>
      </c>
      <c r="Y44" s="259">
        <f t="shared" si="54"/>
        <v>0</v>
      </c>
      <c r="Z44" s="259">
        <f t="shared" si="54"/>
        <v>0</v>
      </c>
      <c r="AA44" s="348">
        <f t="shared" si="8"/>
        <v>0</v>
      </c>
      <c r="AB44" s="274">
        <f t="shared" si="13"/>
        <v>0</v>
      </c>
      <c r="AC44" s="174"/>
      <c r="AD44" s="173"/>
      <c r="AE44" s="97"/>
      <c r="AF44" s="97"/>
    </row>
    <row r="45" spans="1:32">
      <c r="A45" s="1"/>
      <c r="B45" s="5">
        <f t="shared" si="46"/>
        <v>0</v>
      </c>
      <c r="C45" s="38">
        <f t="shared" si="51"/>
        <v>43133</v>
      </c>
      <c r="D45" s="7">
        <f t="shared" ca="1" si="1"/>
        <v>5</v>
      </c>
      <c r="E45" s="114" t="str">
        <f>IF(B45=0,"","Friday")</f>
        <v/>
      </c>
      <c r="F45" s="55"/>
      <c r="G45" s="56"/>
      <c r="H45" s="56"/>
      <c r="I45" s="200"/>
      <c r="J45" s="56"/>
      <c r="K45" s="201" t="str">
        <f t="shared" si="55"/>
        <v/>
      </c>
      <c r="L45" s="56"/>
      <c r="M45" s="202" t="str">
        <f t="shared" si="52"/>
        <v/>
      </c>
      <c r="N45" s="324"/>
      <c r="O45" s="259" t="str">
        <f t="shared" si="3"/>
        <v/>
      </c>
      <c r="P45" s="260">
        <f t="shared" si="48"/>
        <v>49891.107986481511</v>
      </c>
      <c r="Q45" s="169">
        <f t="shared" si="4"/>
        <v>31.000897288802665</v>
      </c>
      <c r="R45" s="169">
        <f t="shared" si="53"/>
        <v>0</v>
      </c>
      <c r="S45" s="369" t="str">
        <f t="shared" si="12"/>
        <v/>
      </c>
      <c r="T45" s="169"/>
      <c r="U45" s="169"/>
      <c r="V45" s="170" t="str">
        <f t="shared" si="49"/>
        <v/>
      </c>
      <c r="W45" s="170" t="str">
        <f t="shared" si="50"/>
        <v/>
      </c>
      <c r="X45" s="259">
        <f t="shared" si="54"/>
        <v>0</v>
      </c>
      <c r="Y45" s="259">
        <f t="shared" si="54"/>
        <v>0</v>
      </c>
      <c r="Z45" s="259">
        <f t="shared" si="54"/>
        <v>0</v>
      </c>
      <c r="AA45" s="348">
        <f t="shared" si="8"/>
        <v>0</v>
      </c>
      <c r="AB45" s="274">
        <f t="shared" si="13"/>
        <v>0</v>
      </c>
      <c r="AC45" s="100"/>
      <c r="AD45" s="97"/>
      <c r="AE45" s="97"/>
      <c r="AF45" s="97"/>
    </row>
    <row r="46" spans="1:32">
      <c r="A46" s="1"/>
      <c r="B46" s="5">
        <f t="shared" si="46"/>
        <v>0</v>
      </c>
      <c r="C46" s="38">
        <f t="shared" si="51"/>
        <v>43134</v>
      </c>
      <c r="D46" s="7">
        <f t="shared" ca="1" si="1"/>
        <v>4</v>
      </c>
      <c r="E46" s="114" t="str">
        <f>IF(B46=0,"","Saturday")</f>
        <v/>
      </c>
      <c r="F46" s="55"/>
      <c r="G46" s="56"/>
      <c r="H46" s="56"/>
      <c r="I46" s="200"/>
      <c r="J46" s="56"/>
      <c r="K46" s="201" t="str">
        <f t="shared" si="55"/>
        <v/>
      </c>
      <c r="L46" s="56"/>
      <c r="M46" s="202" t="str">
        <f t="shared" si="52"/>
        <v/>
      </c>
      <c r="N46" s="324"/>
      <c r="O46" s="259" t="str">
        <f t="shared" si="3"/>
        <v/>
      </c>
      <c r="P46" s="260">
        <f t="shared" si="48"/>
        <v>49891.107986481511</v>
      </c>
      <c r="Q46" s="169">
        <f t="shared" si="4"/>
        <v>31.000897288802665</v>
      </c>
      <c r="R46" s="169">
        <f t="shared" si="53"/>
        <v>0</v>
      </c>
      <c r="S46" s="369" t="str">
        <f t="shared" si="12"/>
        <v/>
      </c>
      <c r="T46" s="169"/>
      <c r="U46" s="169"/>
      <c r="V46" s="170" t="str">
        <f t="shared" si="49"/>
        <v/>
      </c>
      <c r="W46" s="170" t="str">
        <f t="shared" si="50"/>
        <v/>
      </c>
      <c r="X46" s="259">
        <f t="shared" si="54"/>
        <v>0</v>
      </c>
      <c r="Y46" s="259">
        <f t="shared" si="54"/>
        <v>0</v>
      </c>
      <c r="Z46" s="259">
        <f t="shared" si="54"/>
        <v>0</v>
      </c>
      <c r="AA46" s="348">
        <f t="shared" si="8"/>
        <v>0</v>
      </c>
      <c r="AB46" s="274">
        <f t="shared" si="13"/>
        <v>0</v>
      </c>
      <c r="AC46" s="100"/>
      <c r="AD46" s="97"/>
      <c r="AE46" s="97"/>
      <c r="AF46" s="97"/>
    </row>
    <row r="47" spans="1:32" ht="16" thickBot="1">
      <c r="A47" s="1"/>
      <c r="B47" s="53">
        <f t="shared" si="46"/>
        <v>0</v>
      </c>
      <c r="C47" s="41">
        <f t="shared" si="51"/>
        <v>43135</v>
      </c>
      <c r="D47" s="54">
        <f t="shared" ca="1" si="1"/>
        <v>3</v>
      </c>
      <c r="E47" s="117" t="str">
        <f>IF(B47=0,"","Sunday")</f>
        <v/>
      </c>
      <c r="F47" s="55"/>
      <c r="G47" s="56"/>
      <c r="H47" s="56"/>
      <c r="I47" s="200"/>
      <c r="J47" s="56"/>
      <c r="K47" s="201" t="str">
        <f t="shared" si="55"/>
        <v/>
      </c>
      <c r="L47" s="56"/>
      <c r="M47" s="202" t="str">
        <f t="shared" si="52"/>
        <v/>
      </c>
      <c r="N47" s="329"/>
      <c r="O47" s="259" t="str">
        <f t="shared" si="3"/>
        <v/>
      </c>
      <c r="P47" s="260">
        <f t="shared" si="48"/>
        <v>49891.107986481511</v>
      </c>
      <c r="Q47" s="169">
        <f t="shared" si="4"/>
        <v>31.000897288802665</v>
      </c>
      <c r="R47" s="169">
        <f t="shared" si="53"/>
        <v>0</v>
      </c>
      <c r="S47" s="369" t="str">
        <f t="shared" si="12"/>
        <v/>
      </c>
      <c r="T47" s="169"/>
      <c r="U47" s="169"/>
      <c r="V47" s="170" t="str">
        <f t="shared" si="49"/>
        <v/>
      </c>
      <c r="W47" s="170" t="str">
        <f t="shared" si="50"/>
        <v/>
      </c>
      <c r="X47" s="259">
        <f t="shared" si="54"/>
        <v>0</v>
      </c>
      <c r="Y47" s="259">
        <f t="shared" si="54"/>
        <v>0</v>
      </c>
      <c r="Z47" s="259">
        <f t="shared" si="54"/>
        <v>0</v>
      </c>
      <c r="AA47" s="348">
        <f t="shared" si="8"/>
        <v>0</v>
      </c>
      <c r="AB47" s="274">
        <f t="shared" si="13"/>
        <v>0</v>
      </c>
      <c r="AC47" s="100"/>
      <c r="AD47" s="97"/>
      <c r="AE47" s="97"/>
      <c r="AF47" s="97"/>
    </row>
    <row r="48" spans="1:32" ht="16" thickTop="1">
      <c r="A48" s="29"/>
      <c r="B48" s="16"/>
      <c r="C48" s="42"/>
      <c r="D48" s="60">
        <f ca="1">TODAY()-C48</f>
        <v>43138</v>
      </c>
      <c r="E48" s="113" t="s">
        <v>76</v>
      </c>
      <c r="F48" s="59">
        <f ca="1">G48*0.000568181818</f>
        <v>0</v>
      </c>
      <c r="G48" s="19">
        <f ca="1">H48*1.0936113</f>
        <v>0</v>
      </c>
      <c r="H48" s="20">
        <f ca="1">IF(SUM(B41:B47)=0,-1E-55,IF(TODAY()&gt;=B$41,(AA47-AA38)*1000,-2E-55))</f>
        <v>0</v>
      </c>
      <c r="I48" s="152"/>
      <c r="J48" s="432" t="s">
        <v>121</v>
      </c>
      <c r="K48" s="433"/>
      <c r="L48" s="433"/>
      <c r="M48" s="433"/>
      <c r="N48" s="433"/>
      <c r="O48" s="259" t="str">
        <f t="shared" si="3"/>
        <v/>
      </c>
      <c r="P48" s="230"/>
      <c r="Q48" s="169">
        <f t="shared" si="4"/>
        <v>0</v>
      </c>
      <c r="R48" s="350"/>
      <c r="S48" s="369" t="str">
        <f t="shared" si="12"/>
        <v/>
      </c>
      <c r="T48" s="350"/>
      <c r="U48" s="350"/>
      <c r="V48" s="350"/>
      <c r="W48" s="350"/>
      <c r="X48" s="259"/>
      <c r="Y48" s="259" t="str">
        <f>IF(A48=0,"",G48+Y36)</f>
        <v/>
      </c>
      <c r="Z48" s="259" t="str">
        <f>IF(B48=0,"",H48+Z36)</f>
        <v/>
      </c>
      <c r="AA48" s="348"/>
      <c r="AB48" s="274">
        <f t="shared" si="13"/>
        <v>0</v>
      </c>
      <c r="AC48" s="100"/>
      <c r="AD48" s="97"/>
      <c r="AE48" s="97"/>
      <c r="AF48" s="97"/>
    </row>
    <row r="49" spans="1:54" ht="19" thickBot="1">
      <c r="A49" s="28"/>
      <c r="B49" s="17"/>
      <c r="C49" s="39"/>
      <c r="D49" s="61">
        <f ca="1">TODAY()-C49</f>
        <v>43138</v>
      </c>
      <c r="E49" s="116" t="s">
        <v>33</v>
      </c>
      <c r="F49" s="62">
        <f>G49*0.0005681818</f>
        <v>2.9999745383189942</v>
      </c>
      <c r="G49" s="63">
        <f>H49*1.0936113</f>
        <v>5279.9553564000007</v>
      </c>
      <c r="H49" s="6">
        <f>INT(SUM($O41:$O47))</f>
        <v>4828</v>
      </c>
      <c r="I49" s="153"/>
      <c r="J49" s="434" t="str">
        <f>IF(R$2=1,"MILES",IF(R$2=2,"YARDS",IF(R$2=3,"METRES","????")))</f>
        <v>MILES</v>
      </c>
      <c r="K49" s="435"/>
      <c r="L49" s="435"/>
      <c r="M49" s="435"/>
      <c r="N49" s="435"/>
      <c r="O49" s="259" t="str">
        <f t="shared" si="3"/>
        <v/>
      </c>
      <c r="P49" s="234"/>
      <c r="Q49" s="169">
        <f t="shared" si="4"/>
        <v>0</v>
      </c>
      <c r="R49" s="351"/>
      <c r="S49" s="369" t="str">
        <f t="shared" si="12"/>
        <v/>
      </c>
      <c r="T49" s="351"/>
      <c r="U49" s="351"/>
      <c r="V49" s="351"/>
      <c r="W49" s="351"/>
      <c r="X49" s="259"/>
      <c r="Y49" s="259" t="str">
        <f>IF(A49=0,"",G49+Y37)</f>
        <v/>
      </c>
      <c r="Z49" s="259" t="str">
        <f>IF(B49=0,"",H49+Z37)</f>
        <v/>
      </c>
      <c r="AA49" s="348"/>
      <c r="AB49" s="274">
        <f t="shared" si="13"/>
        <v>0</v>
      </c>
      <c r="AC49" s="171"/>
      <c r="AD49" s="172"/>
      <c r="AE49" s="172"/>
      <c r="AF49" s="288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</row>
    <row r="50" spans="1:54" ht="16" thickTop="1">
      <c r="A50" s="1" t="s">
        <v>22</v>
      </c>
      <c r="B50" s="57">
        <f t="shared" ref="B50:B51" si="56">IF(B$3&lt;C50,0,C50)</f>
        <v>0</v>
      </c>
      <c r="C50" s="40">
        <f>C47+1</f>
        <v>43136</v>
      </c>
      <c r="D50" s="22">
        <f t="shared" ca="1" si="1"/>
        <v>2</v>
      </c>
      <c r="E50" s="118" t="str">
        <f>IF(B50=0,"","Monday")</f>
        <v/>
      </c>
      <c r="F50" s="55"/>
      <c r="G50" s="56"/>
      <c r="H50" s="56"/>
      <c r="I50" s="200"/>
      <c r="J50" s="128"/>
      <c r="K50" s="201" t="str">
        <f t="shared" ref="K50" si="57">IF(R50=0,"",IF(L50="","",J50))</f>
        <v/>
      </c>
      <c r="L50" s="128"/>
      <c r="M50" s="202" t="str">
        <f>IF(R50=0,"",IF(J50="","",L50))</f>
        <v/>
      </c>
      <c r="N50" s="330"/>
      <c r="O50" s="259" t="str">
        <f t="shared" si="3"/>
        <v/>
      </c>
      <c r="P50" s="260">
        <f>H$56</f>
        <v>49891.107986481511</v>
      </c>
      <c r="Q50" s="169">
        <f t="shared" si="4"/>
        <v>31.000897288802665</v>
      </c>
      <c r="R50" s="169">
        <f>IF(R$2=3,H50+G50/1.0936133+F50/0.0006213712,IF(R$2=2,H50*1.0936133+G50+F50/0.0005681818,IF(R$2=1,H50*0.0005681818*1.0936133+G50*0.0005681818+F50,"")))</f>
        <v>0</v>
      </c>
      <c r="S50" s="369" t="str">
        <f t="shared" si="12"/>
        <v/>
      </c>
      <c r="T50" s="169"/>
      <c r="U50" s="169"/>
      <c r="V50" s="170" t="str">
        <f>IF(L50="","",IF(R50=0,"",IF(B50=0,"",IF($R$2=3,R50/L50*60/1000,IF($R$2=2,R50/L50*60/1760,IF($R$2=1,R50/L50*60,""))))))</f>
        <v/>
      </c>
      <c r="W50" s="170" t="str">
        <f>IF(R50=0,"",IF(L50="","",V50*L50))</f>
        <v/>
      </c>
      <c r="X50" s="259">
        <f>F50+X47</f>
        <v>0</v>
      </c>
      <c r="Y50" s="259">
        <f>G50+Y47</f>
        <v>0</v>
      </c>
      <c r="Z50" s="259">
        <f>H50+Z47</f>
        <v>0</v>
      </c>
      <c r="AA50" s="348">
        <f t="shared" si="8"/>
        <v>0</v>
      </c>
      <c r="AB50" s="274">
        <f t="shared" si="13"/>
        <v>0</v>
      </c>
      <c r="AC50" s="100"/>
      <c r="AD50" s="97"/>
      <c r="AE50" s="97"/>
      <c r="AF50" s="97"/>
    </row>
    <row r="51" spans="1:54" ht="16" thickBot="1">
      <c r="A51" s="1"/>
      <c r="B51" s="5">
        <f t="shared" si="56"/>
        <v>0</v>
      </c>
      <c r="C51" s="38">
        <f t="shared" ref="C51" si="58">C50+1</f>
        <v>43137</v>
      </c>
      <c r="D51" s="7">
        <f t="shared" ca="1" si="1"/>
        <v>1</v>
      </c>
      <c r="E51" s="114" t="str">
        <f>IF(B51=0,"","Tuesday")</f>
        <v/>
      </c>
      <c r="F51" s="55"/>
      <c r="G51" s="56"/>
      <c r="H51" s="56"/>
      <c r="I51" s="200"/>
      <c r="J51" s="56"/>
      <c r="K51" s="201" t="str">
        <f>IF(R51=0,"",IF(L51="","",J51))</f>
        <v/>
      </c>
      <c r="L51" s="56"/>
      <c r="M51" s="202" t="str">
        <f t="shared" ref="M51" si="59">IF(R51=0,"",IF(J51="","",L51))</f>
        <v/>
      </c>
      <c r="N51" s="329"/>
      <c r="O51" s="259" t="str">
        <f t="shared" si="3"/>
        <v/>
      </c>
      <c r="P51" s="260">
        <f>H$56</f>
        <v>49891.107986481511</v>
      </c>
      <c r="Q51" s="169">
        <f t="shared" si="4"/>
        <v>31.000897288802665</v>
      </c>
      <c r="R51" s="169">
        <f>IF(R$2=3,H51+G51/1.0936133+F51/0.0006213712,IF(R$2=2,H51*1.0936133+G51+F51/0.0005681818,IF(R$2=1,H51*0.0005681818*1.0936133+G51*0.0005681818+F51,"")))</f>
        <v>0</v>
      </c>
      <c r="S51" s="369" t="str">
        <f t="shared" si="12"/>
        <v/>
      </c>
      <c r="T51" s="169"/>
      <c r="U51" s="169"/>
      <c r="V51" s="170" t="str">
        <f>IF(L51="","",IF(R51=0,"",IF(B51=0,"",IF($R$2=3,R51/L51*60/1000,IF($R$2=2,R51/L51*60/1760,IF($R$2=1,R51/L51*60,""))))))</f>
        <v/>
      </c>
      <c r="W51" s="170" t="str">
        <f>IF(R51=0,"",IF(L51="","",V51*L51))</f>
        <v/>
      </c>
      <c r="X51" s="259">
        <f>F51+X50</f>
        <v>0</v>
      </c>
      <c r="Y51" s="259">
        <f>G51+Y50</f>
        <v>0</v>
      </c>
      <c r="Z51" s="259">
        <f>H51+Z50</f>
        <v>0</v>
      </c>
      <c r="AA51" s="348">
        <f t="shared" si="8"/>
        <v>0</v>
      </c>
      <c r="AB51" s="274">
        <f t="shared" si="13"/>
        <v>0</v>
      </c>
      <c r="AC51" s="100"/>
      <c r="AD51" s="97"/>
      <c r="AE51" s="97"/>
      <c r="AF51" s="97"/>
    </row>
    <row r="52" spans="1:54" ht="17" thickTop="1" thickBot="1">
      <c r="A52" s="29"/>
      <c r="B52" s="16"/>
      <c r="C52" s="42"/>
      <c r="D52" s="60"/>
      <c r="E52" s="113" t="s">
        <v>76</v>
      </c>
      <c r="F52" s="59">
        <f ca="1">G52*0.000568181818</f>
        <v>-6.2137005661934355E-59</v>
      </c>
      <c r="G52" s="19">
        <f ca="1">H52*1.0936113</f>
        <v>-1.0936113000000001E-55</v>
      </c>
      <c r="H52" s="129">
        <f ca="1">IF(SUM(B50:B51)=0,-1E-55,IF(TODAY()&gt;=B50,(AA51-AA47)*1000,-2E-55))</f>
        <v>-9.9999999999999999E-56</v>
      </c>
      <c r="I52" s="137"/>
      <c r="J52" s="422" t="s">
        <v>120</v>
      </c>
      <c r="K52" s="423"/>
      <c r="L52" s="423"/>
      <c r="M52" s="147"/>
      <c r="N52" s="332" t="str">
        <f>IF(R$2=1,"Distance (miles)",IF(R$2=2,"Distance (yds)",IF(R$2=3,"Distance (km)","????")))</f>
        <v>Distance (miles)</v>
      </c>
      <c r="O52" s="259"/>
      <c r="P52" s="234" t="s">
        <v>1</v>
      </c>
      <c r="Q52" s="234" t="s">
        <v>2</v>
      </c>
      <c r="R52" s="234" t="s">
        <v>3</v>
      </c>
      <c r="S52" s="234" t="s">
        <v>4</v>
      </c>
      <c r="T52" s="234" t="s">
        <v>5</v>
      </c>
      <c r="U52" s="234" t="s">
        <v>6</v>
      </c>
      <c r="V52" s="234" t="s">
        <v>7</v>
      </c>
      <c r="W52" s="259"/>
      <c r="X52" s="259"/>
      <c r="Y52" s="259"/>
      <c r="Z52" s="348"/>
      <c r="AA52" s="274"/>
      <c r="AB52" s="226"/>
      <c r="AC52" s="100"/>
      <c r="AD52" s="97"/>
      <c r="AE52" s="97"/>
      <c r="AF52" s="97"/>
    </row>
    <row r="53" spans="1:54" ht="16" thickBot="1">
      <c r="A53" s="28"/>
      <c r="B53" s="17"/>
      <c r="C53" s="39"/>
      <c r="D53" s="61"/>
      <c r="E53" s="116" t="s">
        <v>33</v>
      </c>
      <c r="F53" s="62">
        <f>G53*0.0005681818</f>
        <v>-6.2137003693434006E-59</v>
      </c>
      <c r="G53" s="63">
        <f>H53*1.0936113</f>
        <v>-1.0936113000000001E-55</v>
      </c>
      <c r="H53" s="131">
        <f>IF(SUM($O50:$O51)=0,-1E-55,SUM($O50:$O51))</f>
        <v>-9.9999999999999999E-56</v>
      </c>
      <c r="I53" s="136"/>
      <c r="J53" s="158" t="str">
        <f>'MY STATS'!AF44</f>
        <v/>
      </c>
      <c r="K53" s="159" t="str">
        <f>IF(J53="","x",J53)</f>
        <v>x</v>
      </c>
      <c r="L53" s="206" t="str">
        <f>IF(J53="","",SUMIF(K$5:K$51,K53,M$5:M$51)/1440)</f>
        <v/>
      </c>
      <c r="M53" s="207" t="str">
        <f>IF(J53="","",IF('MY STATS'!$A$15=3,SUMIF(K$5:K$51,J53,R$5:R$51)/1000,SUMIF(K$5:K$51,J53,R$5:R$51)))</f>
        <v/>
      </c>
      <c r="N53" s="333" t="str">
        <f>IF(J53="","",IF('MY STATS'!$A$15=3,SUMIF(J$5:J$51,J53,R$5:R$51)/1000,SUMIF(J$5:J$51,J53,R$5:R$51)))</f>
        <v/>
      </c>
      <c r="O53" s="353" t="s">
        <v>58</v>
      </c>
      <c r="P53" s="234">
        <f t="shared" ref="P53:V53" si="60">COUNTIFS($E$5:$E$51,P52)</f>
        <v>5</v>
      </c>
      <c r="Q53" s="234">
        <f t="shared" si="60"/>
        <v>5</v>
      </c>
      <c r="R53" s="234">
        <f t="shared" si="60"/>
        <v>5</v>
      </c>
      <c r="S53" s="234">
        <f t="shared" si="60"/>
        <v>4</v>
      </c>
      <c r="T53" s="234">
        <f t="shared" si="60"/>
        <v>4</v>
      </c>
      <c r="U53" s="234">
        <f t="shared" si="60"/>
        <v>4</v>
      </c>
      <c r="V53" s="234">
        <f t="shared" si="60"/>
        <v>4</v>
      </c>
      <c r="W53" s="259"/>
      <c r="X53" s="259"/>
      <c r="Y53" s="259"/>
      <c r="Z53" s="348"/>
      <c r="AA53" s="274"/>
      <c r="AB53" s="226"/>
      <c r="AC53" s="174"/>
      <c r="AD53" s="173"/>
      <c r="AE53" s="97"/>
      <c r="AF53" s="97"/>
    </row>
    <row r="54" spans="1:54" ht="17" thickTop="1" thickBot="1">
      <c r="A54" s="11"/>
      <c r="B54" s="11"/>
      <c r="C54" s="11"/>
      <c r="D54" s="11"/>
      <c r="E54" s="11"/>
      <c r="F54" s="11" t="s">
        <v>34</v>
      </c>
      <c r="G54" s="11" t="s">
        <v>35</v>
      </c>
      <c r="H54" s="11" t="s">
        <v>37</v>
      </c>
      <c r="I54" s="135"/>
      <c r="J54" s="160" t="str">
        <f>'MY STATS'!AG44</f>
        <v/>
      </c>
      <c r="K54" s="161" t="str">
        <f t="shared" ref="K54:K59" si="61">IF(J54="","x",J54)</f>
        <v>x</v>
      </c>
      <c r="L54" s="208" t="str">
        <f>IF(J54="","",SUMIF(K$5:K$51,K54,M$5:M$51)/1440)</f>
        <v/>
      </c>
      <c r="M54" s="209" t="str">
        <f>IF(J54="","",IF('MY STATS'!$A$15=3,SUMIF(K$5:K$51,J54,R$5:R$51)/1000,SUMIF(K$5:K$51,J54,R$5:R$51)))</f>
        <v/>
      </c>
      <c r="N54" s="334" t="str">
        <f>IF(J54="","",IF('MY STATS'!$A$15=3,SUMIF(J$5:J$51,J54,R$5:R$51)/1000,SUMIF(J$5:J$51,J54,R$5:R$51)))</f>
        <v/>
      </c>
      <c r="O54" s="353" t="s">
        <v>57</v>
      </c>
      <c r="P54" s="234">
        <f t="shared" ref="P54:V54" ca="1" si="62">COUNTIFS($D$5:$D$51,"&gt;-1",$E$5:$E$51,P52)</f>
        <v>5</v>
      </c>
      <c r="Q54" s="234">
        <f t="shared" ca="1" si="62"/>
        <v>5</v>
      </c>
      <c r="R54" s="234">
        <f t="shared" ca="1" si="62"/>
        <v>5</v>
      </c>
      <c r="S54" s="234">
        <f t="shared" ca="1" si="62"/>
        <v>4</v>
      </c>
      <c r="T54" s="234">
        <f t="shared" ca="1" si="62"/>
        <v>4</v>
      </c>
      <c r="U54" s="234">
        <f t="shared" ca="1" si="62"/>
        <v>4</v>
      </c>
      <c r="V54" s="234">
        <f t="shared" ca="1" si="62"/>
        <v>4</v>
      </c>
      <c r="W54" s="259"/>
      <c r="X54" s="259"/>
      <c r="Y54" s="259"/>
      <c r="Z54" s="348"/>
      <c r="AA54" s="274"/>
      <c r="AB54" s="226"/>
      <c r="AC54" s="100"/>
      <c r="AD54" s="97"/>
      <c r="AE54" s="97"/>
      <c r="AF54" s="97"/>
    </row>
    <row r="55" spans="1:54" ht="16" thickTop="1">
      <c r="A55" s="30"/>
      <c r="B55" s="58"/>
      <c r="C55" s="43"/>
      <c r="D55" s="43"/>
      <c r="E55" s="18" t="s">
        <v>36</v>
      </c>
      <c r="F55" s="88">
        <f>G55*0.000568181818</f>
        <v>0</v>
      </c>
      <c r="G55" s="89">
        <f>H55*1.0936113</f>
        <v>0</v>
      </c>
      <c r="H55" s="132">
        <f>AA$51*1000</f>
        <v>0</v>
      </c>
      <c r="I55" s="138"/>
      <c r="J55" s="160" t="str">
        <f>'MY STATS'!AH44</f>
        <v/>
      </c>
      <c r="K55" s="161" t="str">
        <f t="shared" si="61"/>
        <v>x</v>
      </c>
      <c r="L55" s="208" t="str">
        <f>IF(J55="","",SUMIF(K$5:K$51,K55,M$5:M$51)/1440)</f>
        <v/>
      </c>
      <c r="M55" s="209" t="str">
        <f>IF(J55="","",IF('MY STATS'!$A$15=3,SUMIF(K$5:K$51,J55,R$5:R$51)/1000,SUMIF(K$5:K$51,J55,R$5:R$51)))</f>
        <v/>
      </c>
      <c r="N55" s="334" t="str">
        <f>IF(J55="","",IF('MY STATS'!$A$15=3,SUMIF(J$5:J$51,J55,R$5:R$51)/1000,SUMIF(J$5:J$51,J55,R$5:R$51)))</f>
        <v/>
      </c>
      <c r="O55" s="353" t="s">
        <v>80</v>
      </c>
      <c r="P55" s="234">
        <f t="shared" ref="P55:V55" si="63">COUNTIFS($E$5:$E$51,P52,$R$5:$R$51,"&gt;0")</f>
        <v>0</v>
      </c>
      <c r="Q55" s="234">
        <f t="shared" si="63"/>
        <v>0</v>
      </c>
      <c r="R55" s="234">
        <f t="shared" si="63"/>
        <v>0</v>
      </c>
      <c r="S55" s="234">
        <f t="shared" si="63"/>
        <v>0</v>
      </c>
      <c r="T55" s="234">
        <f t="shared" si="63"/>
        <v>0</v>
      </c>
      <c r="U55" s="234">
        <f t="shared" si="63"/>
        <v>0</v>
      </c>
      <c r="V55" s="234">
        <f t="shared" si="63"/>
        <v>0</v>
      </c>
      <c r="W55" s="259"/>
      <c r="X55" s="259"/>
      <c r="Y55" s="259"/>
      <c r="Z55" s="348"/>
      <c r="AA55" s="274"/>
      <c r="AB55" s="226"/>
      <c r="AC55" s="100"/>
      <c r="AD55" s="97"/>
      <c r="AE55" s="97"/>
      <c r="AF55" s="97"/>
    </row>
    <row r="56" spans="1:54" ht="16" thickBot="1">
      <c r="A56" s="31"/>
      <c r="B56" s="44"/>
      <c r="C56" s="44"/>
      <c r="D56" s="44"/>
      <c r="E56" s="21" t="s">
        <v>51</v>
      </c>
      <c r="F56" s="47">
        <f>G56*0.000568181818</f>
        <v>31.000840594361797</v>
      </c>
      <c r="G56" s="48">
        <f>H56*1.0936113</f>
        <v>54561.479463536431</v>
      </c>
      <c r="H56" s="133">
        <f>SUM(H$53,H40,H31,H22,H49,H13)-1</f>
        <v>49891.107986481511</v>
      </c>
      <c r="I56" s="139"/>
      <c r="J56" s="160" t="str">
        <f>'MY STATS'!AI44</f>
        <v/>
      </c>
      <c r="K56" s="161" t="str">
        <f t="shared" si="61"/>
        <v>x</v>
      </c>
      <c r="L56" s="208" t="str">
        <f>IF(J56="","",SUMIF(K$5:K$51,K56,M$5:M$51)/1440)</f>
        <v/>
      </c>
      <c r="M56" s="209" t="str">
        <f>IF(J56="","",IF('MY STATS'!$A$15=3,SUMIF(K$5:K$51,J56,R$5:R$51)/1000,SUMIF(K$5:K$51,J56,R$5:R$51)))</f>
        <v/>
      </c>
      <c r="N56" s="334" t="str">
        <f>IF(J56="","",IF('MY STATS'!$A$15=3,SUMIF(J$5:J$51,J56,R$5:R$51)/1000,SUMIF(J$5:J$51,J56,R$5:R$51)))</f>
        <v/>
      </c>
      <c r="O56" s="353" t="s">
        <v>136</v>
      </c>
      <c r="P56" s="234"/>
      <c r="Q56" s="234"/>
      <c r="R56" s="234"/>
      <c r="S56" s="234"/>
      <c r="T56" s="234"/>
      <c r="U56" s="234"/>
      <c r="V56" s="234"/>
      <c r="W56" s="259"/>
      <c r="X56" s="259"/>
      <c r="Y56" s="259"/>
      <c r="Z56" s="348"/>
      <c r="AA56" s="274"/>
      <c r="AB56" s="226"/>
      <c r="AC56" s="100"/>
      <c r="AD56" s="97"/>
      <c r="AE56" s="97"/>
      <c r="AF56" s="370"/>
    </row>
    <row r="57" spans="1:54" ht="17" thickTop="1" thickBot="1">
      <c r="A57" s="49"/>
      <c r="B57" s="49"/>
      <c r="C57" s="49"/>
      <c r="D57" s="49"/>
      <c r="E57" s="49"/>
      <c r="F57" s="49"/>
      <c r="G57" s="49"/>
      <c r="H57" s="49"/>
      <c r="I57" s="140"/>
      <c r="J57" s="160" t="str">
        <f>'MY STATS'!AJ44</f>
        <v/>
      </c>
      <c r="K57" s="161" t="str">
        <f>IF(J57="","x",J57)</f>
        <v>x</v>
      </c>
      <c r="L57" s="208" t="str">
        <f>IF(J57="","",SUMIF(K$5:K$51,K57,M$5:M$51)/1440)</f>
        <v/>
      </c>
      <c r="M57" s="209" t="str">
        <f>IF(J57="","",IF('MY STATS'!$A$15=3,SUMIF(K$5:K$51,J57,R$5:R$51)/1000,SUMIF(K$5:K$51,J57,R$5:R$51)))</f>
        <v/>
      </c>
      <c r="N57" s="334" t="str">
        <f>IF(J57="","",IF('MY STATS'!$A$15=3,SUMIF(J$5:J$51,J57,R$5:R$51)/1000,SUMIF(J$5:J$51,J57,R$5:R$51)))</f>
        <v/>
      </c>
      <c r="O57" s="353" t="s">
        <v>126</v>
      </c>
      <c r="P57" s="339">
        <f t="shared" ref="P57:V57" si="64">SUMIF($E$5:$E$51,P52,$S$5:$S$51)</f>
        <v>0</v>
      </c>
      <c r="Q57" s="339">
        <f t="shared" si="64"/>
        <v>0</v>
      </c>
      <c r="R57" s="339">
        <f t="shared" si="64"/>
        <v>0</v>
      </c>
      <c r="S57" s="339">
        <f t="shared" si="64"/>
        <v>0</v>
      </c>
      <c r="T57" s="339">
        <f t="shared" si="64"/>
        <v>0</v>
      </c>
      <c r="U57" s="339">
        <f t="shared" si="64"/>
        <v>0</v>
      </c>
      <c r="V57" s="339">
        <f t="shared" si="64"/>
        <v>0</v>
      </c>
      <c r="W57" s="230"/>
      <c r="X57" s="230"/>
      <c r="Y57" s="230"/>
      <c r="Z57" s="234"/>
      <c r="AA57" s="230"/>
      <c r="AB57" s="226"/>
      <c r="AC57" s="100"/>
      <c r="AD57" s="97"/>
      <c r="AE57" s="97"/>
      <c r="AF57" s="97"/>
    </row>
    <row r="58" spans="1:54" ht="17" thickTop="1" thickBot="1">
      <c r="A58" s="77">
        <f>A1</f>
        <v>1</v>
      </c>
      <c r="B58" s="78"/>
      <c r="C58" s="79"/>
      <c r="D58" s="71"/>
      <c r="E58" s="72" t="s">
        <v>91</v>
      </c>
      <c r="F58" s="90">
        <f>G58*0.000568181818</f>
        <v>0</v>
      </c>
      <c r="G58" s="91">
        <f>H58*1.0936113</f>
        <v>0</v>
      </c>
      <c r="H58" s="92">
        <f>H$55+G$3</f>
        <v>0</v>
      </c>
      <c r="I58" s="140"/>
      <c r="J58" s="162" t="s">
        <v>112</v>
      </c>
      <c r="K58" s="163"/>
      <c r="L58" s="210">
        <f>L59-SUM(L53:L57)</f>
        <v>0</v>
      </c>
      <c r="M58" s="211">
        <f>(M59-SUM(M53:M57))</f>
        <v>0</v>
      </c>
      <c r="N58" s="335">
        <f>(N59-SUM(N53:N57))</f>
        <v>0</v>
      </c>
      <c r="O58" s="353" t="s">
        <v>127</v>
      </c>
      <c r="P58" s="354">
        <f>IF(COUNTIFS($E$5:$E$51,P52,$L$5:$L$51,"&gt;0")=0,0,(SUMIF($E$5:$E$51,P52,$L$5:$L$51)+IF(SUMIF($E$5:$E$51,P52,$R$5:$R$51)=0,-SUMIF($E$5:$E$51,P52,$L$5:$L$51)))/60)</f>
        <v>0</v>
      </c>
      <c r="Q58" s="354">
        <f t="shared" ref="Q58:V58" si="65">IF(COUNTIFS($E$5:$E$51,Q52,$L$5:$L$51,"&gt;0")=0,0,(SUMIF($E$5:$E$51,Q52,$L$5:$L$51)+IF(SUMIF($E$5:$E$51,Q52,$R$5:$R$51)=0,-SUMIF($E$5:$E$51,Q52,$L$5:$L$51)))/60)</f>
        <v>0</v>
      </c>
      <c r="R58" s="354">
        <f t="shared" si="65"/>
        <v>0</v>
      </c>
      <c r="S58" s="354">
        <f t="shared" si="65"/>
        <v>0</v>
      </c>
      <c r="T58" s="354">
        <f t="shared" si="65"/>
        <v>0</v>
      </c>
      <c r="U58" s="354">
        <f t="shared" si="65"/>
        <v>0</v>
      </c>
      <c r="V58" s="354">
        <f t="shared" si="65"/>
        <v>0</v>
      </c>
      <c r="W58" s="230"/>
      <c r="X58" s="230"/>
      <c r="Y58" s="230"/>
      <c r="Z58" s="234"/>
      <c r="AA58" s="230"/>
      <c r="AB58" s="226"/>
      <c r="AC58" s="100"/>
      <c r="AD58" s="97"/>
      <c r="AE58" s="97"/>
      <c r="AF58" s="97"/>
    </row>
    <row r="59" spans="1:54" ht="17" thickTop="1" thickBot="1">
      <c r="A59" s="80">
        <f>A1</f>
        <v>1</v>
      </c>
      <c r="B59" s="81"/>
      <c r="C59" s="82"/>
      <c r="D59" s="73"/>
      <c r="E59" s="74" t="s">
        <v>63</v>
      </c>
      <c r="F59" s="75">
        <f>G59*0.000568181818</f>
        <v>30.999943307200088</v>
      </c>
      <c r="G59" s="76">
        <f>H59*1.0936113</f>
        <v>54559.900238131318</v>
      </c>
      <c r="H59" s="134">
        <f>VLOOKUP($A$1,'MY STATS'!B$29:K$40,10)</f>
        <v>49889.663940132399</v>
      </c>
      <c r="I59" s="138"/>
      <c r="J59" s="164" t="s">
        <v>68</v>
      </c>
      <c r="K59" s="165" t="str">
        <f t="shared" si="61"/>
        <v>total</v>
      </c>
      <c r="L59" s="212">
        <f>(SUM(L5:L51)-L40)/1440</f>
        <v>0</v>
      </c>
      <c r="M59" s="213">
        <f>IF('MY STATS'!$A$15=3,SUM(R5:R51)/1000,SUM(R5:R51))</f>
        <v>0</v>
      </c>
      <c r="N59" s="336">
        <f>IF('MY STATS'!$A$15=3,SUM(R5:R51)/1000,SUM(R5:R51))</f>
        <v>0</v>
      </c>
      <c r="O59" s="353" t="s">
        <v>111</v>
      </c>
      <c r="P59" s="235">
        <f>IFERROR(IF('MY STATS'!$A15=1,P57/P58,IF('MY STATS'!$A15=2,P57/1760/P58,IF('MY STATS'!$A15=3,P57/1000/P58,0))),0)</f>
        <v>0</v>
      </c>
      <c r="Q59" s="235">
        <f>IFERROR(IF('MY STATS'!$A15=1,Q57/Q58,IF('MY STATS'!$A15=2,Q57/1760/Q58,IF('MY STATS'!$A15=3,Q57/1000/Q58,0))),0)</f>
        <v>0</v>
      </c>
      <c r="R59" s="235">
        <f>IFERROR(IF('MY STATS'!$A15=1,R57/R58,IF('MY STATS'!$A15=2,R57/1760/R58,IF('MY STATS'!$A15=3,R57/1000/R58,0))),0)</f>
        <v>0</v>
      </c>
      <c r="S59" s="235">
        <f>IFERROR(IF('MY STATS'!$A15=1,S57/S58,IF('MY STATS'!$A15=2,S57/1760/S58,IF('MY STATS'!$A15=3,S57/1000/S58,0))),0)</f>
        <v>0</v>
      </c>
      <c r="T59" s="235">
        <f>IFERROR(IF('MY STATS'!$A15=1,T57/T58,IF('MY STATS'!$A15=2,T57/1760/T58,IF('MY STATS'!$A15=3,T57/1000/T58,0))),0)</f>
        <v>0</v>
      </c>
      <c r="U59" s="235">
        <f>IFERROR(IF('MY STATS'!$A15=1,U57/U58,IF('MY STATS'!$A15=2,U57/1760/U58,IF('MY STATS'!$A15=3,U57/1000/U58,0))),0)</f>
        <v>0</v>
      </c>
      <c r="V59" s="235">
        <f>IFERROR(IF('MY STATS'!$A15=1,V57/V58,IF('MY STATS'!$A15=2,V57/1760/V58,IF('MY STATS'!$A15=3,V57/1000/V58,0))),0)</f>
        <v>0</v>
      </c>
      <c r="W59" s="230"/>
      <c r="X59" s="230"/>
      <c r="Y59" s="230"/>
      <c r="Z59" s="234"/>
      <c r="AA59" s="230"/>
      <c r="AB59" s="226"/>
      <c r="AC59" s="100"/>
      <c r="AD59" s="97"/>
      <c r="AE59" s="97"/>
      <c r="AF59" s="97"/>
    </row>
    <row r="60" spans="1:54" ht="16" thickTop="1"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38"/>
      <c r="AB60" s="226"/>
      <c r="AC60" s="100"/>
      <c r="AD60" s="97"/>
      <c r="AE60" s="97"/>
      <c r="AF60" s="97"/>
    </row>
    <row r="61" spans="1:54"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38"/>
      <c r="AB61" s="226"/>
      <c r="AC61" s="100"/>
      <c r="AD61" s="97"/>
      <c r="AE61" s="97"/>
      <c r="AF61" s="97"/>
    </row>
    <row r="62" spans="1:54" ht="6.75" customHeight="1"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20"/>
      <c r="AB62" s="100"/>
      <c r="AC62" s="100"/>
      <c r="AD62" s="97"/>
      <c r="AE62" s="97"/>
      <c r="AF62" s="97"/>
    </row>
    <row r="63" spans="1:54"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8"/>
      <c r="AB63" s="97"/>
      <c r="AC63" s="97"/>
      <c r="AD63" s="97"/>
      <c r="AE63" s="97"/>
      <c r="AF63" s="97"/>
    </row>
    <row r="64" spans="1:54">
      <c r="O64" s="97"/>
      <c r="P64" s="97"/>
      <c r="Q64" s="97"/>
      <c r="R64" s="97"/>
      <c r="S64" s="97"/>
      <c r="T64" s="97"/>
      <c r="U64" s="97"/>
      <c r="V64" s="97"/>
      <c r="W64" s="97"/>
      <c r="X64" s="98"/>
      <c r="Y64" s="97"/>
      <c r="Z64" s="97"/>
      <c r="AA64" s="97"/>
      <c r="AB64" s="97"/>
      <c r="AC64" s="97"/>
      <c r="AD64" s="97"/>
      <c r="AE64" s="97"/>
      <c r="AF64" s="97"/>
    </row>
    <row r="65" spans="15:32"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8"/>
      <c r="AB65" s="97"/>
      <c r="AC65" s="97"/>
      <c r="AD65" s="97"/>
      <c r="AE65" s="97"/>
      <c r="AF65" s="97"/>
    </row>
    <row r="66" spans="15:32" s="3" customFormat="1"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8"/>
      <c r="AA66" s="97"/>
      <c r="AB66" s="97"/>
      <c r="AC66" s="97"/>
      <c r="AD66" s="97"/>
      <c r="AE66" s="97"/>
      <c r="AF66" s="97"/>
    </row>
    <row r="67" spans="15:32"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8"/>
      <c r="AB67" s="97"/>
      <c r="AC67" s="97"/>
      <c r="AD67" s="97"/>
      <c r="AE67" s="97"/>
      <c r="AF67" s="97"/>
    </row>
    <row r="68" spans="15:32"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8"/>
      <c r="AB68" s="97"/>
      <c r="AC68" s="97"/>
      <c r="AD68" s="97"/>
      <c r="AE68" s="97"/>
      <c r="AF68" s="97"/>
    </row>
  </sheetData>
  <sheetProtection sheet="1" objects="1" scenarios="1" selectLockedCells="1"/>
  <mergeCells count="8">
    <mergeCell ref="J52:L52"/>
    <mergeCell ref="J30:N30"/>
    <mergeCell ref="J31:N31"/>
    <mergeCell ref="J13:N13"/>
    <mergeCell ref="J12:N12"/>
    <mergeCell ref="J48:N48"/>
    <mergeCell ref="J49:N49"/>
    <mergeCell ref="J21:N22"/>
  </mergeCells>
  <conditionalFormatting sqref="Q4:Q51 R5:R11 R14:R20 R23:R29 R32:R38 R41:R47 R50:R51 K5:K11 K14:K20 K23:K29 K32:K38 K50:K51 T50:U51 T41:U47 T32:U38 T23:U29 T14:U20 T5:U11">
    <cfRule type="cellIs" dxfId="12944" priority="827" stopIfTrue="1" operator="lessThan">
      <formula>0</formula>
    </cfRule>
  </conditionalFormatting>
  <conditionalFormatting sqref="B14:B20 B23:B29 B49:B51 B40:B47 B53 B31:B38 D3 B5:B11">
    <cfRule type="cellIs" dxfId="12943" priority="5435" stopIfTrue="1" operator="notBetween">
      <formula>$B$2</formula>
      <formula>$B$3</formula>
    </cfRule>
  </conditionalFormatting>
  <conditionalFormatting sqref="B14:B20 B23:B29 B49:B51 B40:B47 B53 B31:B38 D3 B5:B11">
    <cfRule type="cellIs" dxfId="12942" priority="5533" operator="greaterThan">
      <formula>$E$3</formula>
    </cfRule>
    <cfRule type="cellIs" dxfId="12941" priority="5534" operator="equal">
      <formula>$E$3</formula>
    </cfRule>
    <cfRule type="cellIs" dxfId="12940" priority="5535" operator="lessThan">
      <formula>$E$3</formula>
    </cfRule>
  </conditionalFormatting>
  <conditionalFormatting sqref="F58:H58 F55:H55">
    <cfRule type="expression" dxfId="12939" priority="826">
      <formula>$F55&gt;=$F56</formula>
    </cfRule>
  </conditionalFormatting>
  <conditionalFormatting sqref="F5:H10 F14:G20 F23:G29 F38:H38 F41:H47 F11:G11 F32:G37">
    <cfRule type="cellIs" dxfId="12938" priority="765" stopIfTrue="1" operator="lessThan">
      <formula>0</formula>
    </cfRule>
  </conditionalFormatting>
  <conditionalFormatting sqref="C32:C38 C41:C47 C50:C51 C14:C20 C23:C29 C5:C11">
    <cfRule type="cellIs" dxfId="12937" priority="770" stopIfTrue="1" operator="notBetween">
      <formula>$B$2</formula>
      <formula>$B$3</formula>
    </cfRule>
  </conditionalFormatting>
  <conditionalFormatting sqref="C41:C47 C50:C51 C32:C38 C14:C20 C23:C29 C5:C11">
    <cfRule type="cellIs" dxfId="12936" priority="771" operator="greaterThan">
      <formula>$E$3</formula>
    </cfRule>
    <cfRule type="cellIs" dxfId="12935" priority="772" operator="equal">
      <formula>$E$3</formula>
    </cfRule>
    <cfRule type="cellIs" dxfId="12934" priority="773" operator="lessThan">
      <formula>$E$3</formula>
    </cfRule>
  </conditionalFormatting>
  <conditionalFormatting sqref="F14:G20 F23:G29 F38:H38 F41:H47 K5:K11 K14:K20 F32:G37 K23:K29 K32:K38 K41:K47 K50:K51">
    <cfRule type="expression" dxfId="12933" priority="769">
      <formula>$C5&lt;$E$3</formula>
    </cfRule>
  </conditionalFormatting>
  <conditionalFormatting sqref="F5:H10 F14:G20 F23:G29 F38:H38 F41:H47 F11:G11 K5:K11 K14:K20 F32:G37 K23:K29 K32:K38 K41:K47 K50:K51">
    <cfRule type="expression" dxfId="12932" priority="766">
      <formula>$C5=$E$3</formula>
    </cfRule>
    <cfRule type="expression" dxfId="12931" priority="767">
      <formula>$C5&lt;$E$3</formula>
    </cfRule>
    <cfRule type="cellIs" dxfId="12930" priority="768" operator="equal">
      <formula>0</formula>
    </cfRule>
    <cfRule type="expression" dxfId="12929" priority="774">
      <formula>$C5&gt;$E$3</formula>
    </cfRule>
  </conditionalFormatting>
  <conditionalFormatting sqref="F12:G12">
    <cfRule type="expression" dxfId="12928" priority="764">
      <formula>$F12&gt;=$F13</formula>
    </cfRule>
  </conditionalFormatting>
  <conditionalFormatting sqref="F21:G21">
    <cfRule type="expression" dxfId="12927" priority="763">
      <formula>$F21&gt;=$F22</formula>
    </cfRule>
  </conditionalFormatting>
  <conditionalFormatting sqref="F39:H39">
    <cfRule type="expression" dxfId="12926" priority="762">
      <formula>$F39&gt;=$F40</formula>
    </cfRule>
  </conditionalFormatting>
  <conditionalFormatting sqref="F30:G30">
    <cfRule type="expression" dxfId="12925" priority="761">
      <formula>$F30&gt;=$F31</formula>
    </cfRule>
  </conditionalFormatting>
  <conditionalFormatting sqref="F48:H48">
    <cfRule type="expression" dxfId="12924" priority="759" stopIfTrue="1">
      <formula>$H$48=-1E-55</formula>
    </cfRule>
    <cfRule type="expression" dxfId="12923" priority="760">
      <formula>$F48&gt;=$F49</formula>
    </cfRule>
  </conditionalFormatting>
  <conditionalFormatting sqref="F14:G20 F23:G29 F38:H38 F41:H47 F32:G37">
    <cfRule type="expression" dxfId="12922" priority="723">
      <formula>$C14&lt;$E$3</formula>
    </cfRule>
  </conditionalFormatting>
  <conditionalFormatting sqref="F14:G20 F5:H10 F23:G29 F38:H38 F41:H47 F11:G11 F32:G37">
    <cfRule type="expression" dxfId="12921" priority="719">
      <formula>$C5=$E$3</formula>
    </cfRule>
    <cfRule type="expression" dxfId="12920" priority="720">
      <formula>$C5&lt;$E$3</formula>
    </cfRule>
    <cfRule type="cellIs" dxfId="12919" priority="721" operator="equal">
      <formula>0</formula>
    </cfRule>
    <cfRule type="expression" dxfId="12918" priority="722">
      <formula>$C5&gt;$E$3</formula>
    </cfRule>
  </conditionalFormatting>
  <conditionalFormatting sqref="F12:G12">
    <cfRule type="expression" dxfId="12917" priority="718">
      <formula>$F12&gt;=$F13</formula>
    </cfRule>
  </conditionalFormatting>
  <conditionalFormatting sqref="F21:G21">
    <cfRule type="expression" dxfId="12916" priority="717">
      <formula>$F21&gt;=$F22</formula>
    </cfRule>
  </conditionalFormatting>
  <conditionalFormatting sqref="F39:H39">
    <cfRule type="expression" dxfId="12915" priority="716">
      <formula>$F39&gt;=$F40</formula>
    </cfRule>
  </conditionalFormatting>
  <conditionalFormatting sqref="F30:G30">
    <cfRule type="expression" dxfId="12914" priority="715">
      <formula>$F30&gt;=$F31</formula>
    </cfRule>
  </conditionalFormatting>
  <conditionalFormatting sqref="F48:H48">
    <cfRule type="expression" dxfId="12913" priority="713" stopIfTrue="1">
      <formula>$E$41=""</formula>
    </cfRule>
    <cfRule type="expression" dxfId="12912" priority="714">
      <formula>$F48&gt;=$F49</formula>
    </cfRule>
  </conditionalFormatting>
  <conditionalFormatting sqref="F41:H47 K5:K11 K14:K20 K23:K29 K32:K38 K41:K47 K50:K51">
    <cfRule type="expression" dxfId="12911" priority="712">
      <formula>$E5=""</formula>
    </cfRule>
  </conditionalFormatting>
  <conditionalFormatting sqref="F47:H47">
    <cfRule type="expression" dxfId="12910" priority="711">
      <formula>$E$46=""</formula>
    </cfRule>
  </conditionalFormatting>
  <conditionalFormatting sqref="F45:H45">
    <cfRule type="expression" dxfId="12909" priority="710">
      <formula>$E45=""</formula>
    </cfRule>
  </conditionalFormatting>
  <conditionalFormatting sqref="F5:H10 F11:G11">
    <cfRule type="expression" dxfId="12908" priority="709">
      <formula>$C5&lt;$E$3</formula>
    </cfRule>
  </conditionalFormatting>
  <conditionalFormatting sqref="F5:H10 F11:G11">
    <cfRule type="expression" dxfId="12907" priority="708">
      <formula>$E5=""</formula>
    </cfRule>
  </conditionalFormatting>
  <conditionalFormatting sqref="F5:H10 F11:G11">
    <cfRule type="expression" dxfId="12906" priority="704">
      <formula>$C5=$E$3</formula>
    </cfRule>
    <cfRule type="expression" dxfId="12905" priority="705">
      <formula>$C5&lt;$E$3</formula>
    </cfRule>
    <cfRule type="cellIs" dxfId="12904" priority="706" operator="equal">
      <formula>0</formula>
    </cfRule>
    <cfRule type="expression" dxfId="12903" priority="707">
      <formula>$C5&gt;$E$3</formula>
    </cfRule>
  </conditionalFormatting>
  <conditionalFormatting sqref="F5:H10 F11:G11">
    <cfRule type="expression" dxfId="12902" priority="703">
      <formula>$C5&lt;$E$3</formula>
    </cfRule>
  </conditionalFormatting>
  <conditionalFormatting sqref="F5:H10 F11:G11 K5:K11 K14:K20 K23:K29 K32:K38 K41:K47 K50:K51">
    <cfRule type="expression" dxfId="12901" priority="702">
      <formula>$E5=""</formula>
    </cfRule>
  </conditionalFormatting>
  <conditionalFormatting sqref="F14:G20">
    <cfRule type="expression" dxfId="12900" priority="701">
      <formula>$C14&lt;$E$3</formula>
    </cfRule>
  </conditionalFormatting>
  <conditionalFormatting sqref="F14:G20">
    <cfRule type="expression" dxfId="12899" priority="697">
      <formula>$C14=$E$3</formula>
    </cfRule>
    <cfRule type="expression" dxfId="12898" priority="698">
      <formula>$C14&lt;$E$3</formula>
    </cfRule>
    <cfRule type="cellIs" dxfId="12897" priority="699" operator="equal">
      <formula>0</formula>
    </cfRule>
    <cfRule type="expression" dxfId="12896" priority="700">
      <formula>$C14&gt;$E$3</formula>
    </cfRule>
  </conditionalFormatting>
  <conditionalFormatting sqref="F5:H10 F11:G11">
    <cfRule type="expression" dxfId="12895" priority="696">
      <formula>$C5&lt;$E$3</formula>
    </cfRule>
  </conditionalFormatting>
  <conditionalFormatting sqref="F5:H10 F11:G11">
    <cfRule type="expression" dxfId="12894" priority="692">
      <formula>$C5=$E$3</formula>
    </cfRule>
    <cfRule type="expression" dxfId="12893" priority="693">
      <formula>$C5&lt;$E$3</formula>
    </cfRule>
    <cfRule type="cellIs" dxfId="12892" priority="694" operator="equal">
      <formula>0</formula>
    </cfRule>
    <cfRule type="expression" dxfId="12891" priority="695">
      <formula>$C5&gt;$E$3</formula>
    </cfRule>
  </conditionalFormatting>
  <conditionalFormatting sqref="F5:H10 F11:G11">
    <cfRule type="expression" dxfId="12890" priority="691">
      <formula>$E5=""</formula>
    </cfRule>
  </conditionalFormatting>
  <conditionalFormatting sqref="F5:H10 F11:G11">
    <cfRule type="expression" dxfId="12889" priority="690">
      <formula>$C5&lt;$E$3</formula>
    </cfRule>
  </conditionalFormatting>
  <conditionalFormatting sqref="F5:H10 F11:G11 K5:K11 K14:K20 K23:K29 K32:K38 K41:K47 K50:K51">
    <cfRule type="expression" dxfId="12888" priority="689">
      <formula>$E5=""</formula>
    </cfRule>
  </conditionalFormatting>
  <conditionalFormatting sqref="F5:H10 F11:G11">
    <cfRule type="expression" dxfId="12887" priority="688">
      <formula>$E5=""</formula>
    </cfRule>
  </conditionalFormatting>
  <conditionalFormatting sqref="F5:H10 F11:G11">
    <cfRule type="expression" dxfId="12886" priority="687">
      <formula>$C5&lt;$E$3</formula>
    </cfRule>
  </conditionalFormatting>
  <conditionalFormatting sqref="F5:H10 F11:G11">
    <cfRule type="expression" dxfId="12885" priority="686">
      <formula>$E5=""</formula>
    </cfRule>
  </conditionalFormatting>
  <conditionalFormatting sqref="F5:H10 F11:G11">
    <cfRule type="expression" dxfId="12884" priority="685">
      <formula>$C5&lt;$E$3</formula>
    </cfRule>
  </conditionalFormatting>
  <conditionalFormatting sqref="F5:H10 F11:G11">
    <cfRule type="expression" dxfId="12883" priority="684">
      <formula>$E5=""</formula>
    </cfRule>
  </conditionalFormatting>
  <conditionalFormatting sqref="F5:H10 F11:G11">
    <cfRule type="expression" dxfId="12882" priority="683">
      <formula>$C5&lt;$E$3</formula>
    </cfRule>
  </conditionalFormatting>
  <conditionalFormatting sqref="F5:H10 F11:G11">
    <cfRule type="expression" dxfId="12881" priority="682">
      <formula>$E5=""</formula>
    </cfRule>
  </conditionalFormatting>
  <conditionalFormatting sqref="F14:G20">
    <cfRule type="expression" dxfId="12880" priority="681">
      <formula>$C14&lt;$E$3</formula>
    </cfRule>
  </conditionalFormatting>
  <conditionalFormatting sqref="F14:G20">
    <cfRule type="expression" dxfId="12879" priority="677">
      <formula>$C14=$E$3</formula>
    </cfRule>
    <cfRule type="expression" dxfId="12878" priority="678">
      <formula>$C14&lt;$E$3</formula>
    </cfRule>
    <cfRule type="cellIs" dxfId="12877" priority="679" operator="equal">
      <formula>0</formula>
    </cfRule>
    <cfRule type="expression" dxfId="12876" priority="680">
      <formula>$C14&gt;$E$3</formula>
    </cfRule>
  </conditionalFormatting>
  <conditionalFormatting sqref="F14:G20">
    <cfRule type="expression" dxfId="12875" priority="676">
      <formula>$E14=""</formula>
    </cfRule>
  </conditionalFormatting>
  <conditionalFormatting sqref="F14:G20">
    <cfRule type="expression" dxfId="12874" priority="675">
      <formula>$C14&lt;$E$3</formula>
    </cfRule>
  </conditionalFormatting>
  <conditionalFormatting sqref="F14:G20">
    <cfRule type="expression" dxfId="12873" priority="674">
      <formula>$E14=""</formula>
    </cfRule>
  </conditionalFormatting>
  <conditionalFormatting sqref="F14:G20">
    <cfRule type="expression" dxfId="12872" priority="673">
      <formula>$E14=""</formula>
    </cfRule>
  </conditionalFormatting>
  <conditionalFormatting sqref="F14:G20">
    <cfRule type="expression" dxfId="12871" priority="672">
      <formula>$C14&lt;$E$3</formula>
    </cfRule>
  </conditionalFormatting>
  <conditionalFormatting sqref="F14:G20">
    <cfRule type="expression" dxfId="12870" priority="671">
      <formula>$E14=""</formula>
    </cfRule>
  </conditionalFormatting>
  <conditionalFormatting sqref="F14:G20">
    <cfRule type="expression" dxfId="12869" priority="670">
      <formula>$C14&lt;$E$3</formula>
    </cfRule>
  </conditionalFormatting>
  <conditionalFormatting sqref="F14:G20">
    <cfRule type="expression" dxfId="12868" priority="669">
      <formula>$E14=""</formula>
    </cfRule>
  </conditionalFormatting>
  <conditionalFormatting sqref="F14:G20">
    <cfRule type="expression" dxfId="12867" priority="668">
      <formula>$C14&lt;$E$3</formula>
    </cfRule>
  </conditionalFormatting>
  <conditionalFormatting sqref="F14:G20">
    <cfRule type="expression" dxfId="12866" priority="667">
      <formula>$E14=""</formula>
    </cfRule>
  </conditionalFormatting>
  <conditionalFormatting sqref="F23:G29">
    <cfRule type="expression" dxfId="12865" priority="666">
      <formula>$C23&lt;$E$3</formula>
    </cfRule>
  </conditionalFormatting>
  <conditionalFormatting sqref="F23:G29">
    <cfRule type="expression" dxfId="12864" priority="662">
      <formula>$C23=$E$3</formula>
    </cfRule>
    <cfRule type="expression" dxfId="12863" priority="663">
      <formula>$C23&lt;$E$3</formula>
    </cfRule>
    <cfRule type="cellIs" dxfId="12862" priority="664" operator="equal">
      <formula>0</formula>
    </cfRule>
    <cfRule type="expression" dxfId="12861" priority="665">
      <formula>$C23&gt;$E$3</formula>
    </cfRule>
  </conditionalFormatting>
  <conditionalFormatting sqref="F23:G29">
    <cfRule type="expression" dxfId="12860" priority="661">
      <formula>$C23&lt;$E$3</formula>
    </cfRule>
  </conditionalFormatting>
  <conditionalFormatting sqref="F23:G29">
    <cfRule type="expression" dxfId="12859" priority="657">
      <formula>$C23=$E$3</formula>
    </cfRule>
    <cfRule type="expression" dxfId="12858" priority="658">
      <formula>$C23&lt;$E$3</formula>
    </cfRule>
    <cfRule type="cellIs" dxfId="12857" priority="659" operator="equal">
      <formula>0</formula>
    </cfRule>
    <cfRule type="expression" dxfId="12856" priority="660">
      <formula>$C23&gt;$E$3</formula>
    </cfRule>
  </conditionalFormatting>
  <conditionalFormatting sqref="F23:G29">
    <cfRule type="expression" dxfId="12855" priority="656">
      <formula>$E23=""</formula>
    </cfRule>
  </conditionalFormatting>
  <conditionalFormatting sqref="F23:G29">
    <cfRule type="expression" dxfId="12854" priority="655">
      <formula>$C23&lt;$E$3</formula>
    </cfRule>
  </conditionalFormatting>
  <conditionalFormatting sqref="F23:G29">
    <cfRule type="expression" dxfId="12853" priority="654">
      <formula>$E23=""</formula>
    </cfRule>
  </conditionalFormatting>
  <conditionalFormatting sqref="F23:G29">
    <cfRule type="expression" dxfId="12852" priority="653">
      <formula>$E23=""</formula>
    </cfRule>
  </conditionalFormatting>
  <conditionalFormatting sqref="F23:G29">
    <cfRule type="expression" dxfId="12851" priority="652">
      <formula>$C23&lt;$E$3</formula>
    </cfRule>
  </conditionalFormatting>
  <conditionalFormatting sqref="F23:G29">
    <cfRule type="expression" dxfId="12850" priority="651">
      <formula>$E23=""</formula>
    </cfRule>
  </conditionalFormatting>
  <conditionalFormatting sqref="F23:G29">
    <cfRule type="expression" dxfId="12849" priority="650">
      <formula>$C23&lt;$E$3</formula>
    </cfRule>
  </conditionalFormatting>
  <conditionalFormatting sqref="F23:G29">
    <cfRule type="expression" dxfId="12848" priority="649">
      <formula>$E23=""</formula>
    </cfRule>
  </conditionalFormatting>
  <conditionalFormatting sqref="F23:G29">
    <cfRule type="expression" dxfId="12847" priority="648">
      <formula>$C23&lt;$E$3</formula>
    </cfRule>
  </conditionalFormatting>
  <conditionalFormatting sqref="F23:G29">
    <cfRule type="expression" dxfId="12846" priority="647">
      <formula>$E23=""</formula>
    </cfRule>
  </conditionalFormatting>
  <conditionalFormatting sqref="F38:H38 F32:G37">
    <cfRule type="expression" dxfId="12845" priority="646">
      <formula>$C32&lt;$E$3</formula>
    </cfRule>
  </conditionalFormatting>
  <conditionalFormatting sqref="F38:H38 F32:G37">
    <cfRule type="expression" dxfId="12844" priority="642">
      <formula>$C32=$E$3</formula>
    </cfRule>
    <cfRule type="expression" dxfId="12843" priority="643">
      <formula>$C32&lt;$E$3</formula>
    </cfRule>
    <cfRule type="cellIs" dxfId="12842" priority="644" operator="equal">
      <formula>0</formula>
    </cfRule>
    <cfRule type="expression" dxfId="12841" priority="645">
      <formula>$C32&gt;$E$3</formula>
    </cfRule>
  </conditionalFormatting>
  <conditionalFormatting sqref="F38:H38 F32:G37">
    <cfRule type="expression" dxfId="12840" priority="641">
      <formula>$C32&lt;$E$3</formula>
    </cfRule>
  </conditionalFormatting>
  <conditionalFormatting sqref="F38:H38 F32:G37">
    <cfRule type="expression" dxfId="12839" priority="637">
      <formula>$C32=$E$3</formula>
    </cfRule>
    <cfRule type="expression" dxfId="12838" priority="638">
      <formula>$C32&lt;$E$3</formula>
    </cfRule>
    <cfRule type="cellIs" dxfId="12837" priority="639" operator="equal">
      <formula>0</formula>
    </cfRule>
    <cfRule type="expression" dxfId="12836" priority="640">
      <formula>$C32&gt;$E$3</formula>
    </cfRule>
  </conditionalFormatting>
  <conditionalFormatting sqref="F38:H38 F32:G37">
    <cfRule type="expression" dxfId="12835" priority="636">
      <formula>$E32=""</formula>
    </cfRule>
  </conditionalFormatting>
  <conditionalFormatting sqref="F38:H38 F32:G37">
    <cfRule type="expression" dxfId="12834" priority="635">
      <formula>$C32&lt;$E$3</formula>
    </cfRule>
  </conditionalFormatting>
  <conditionalFormatting sqref="F38:H38 F32:G37">
    <cfRule type="expression" dxfId="12833" priority="634">
      <formula>$E32=""</formula>
    </cfRule>
  </conditionalFormatting>
  <conditionalFormatting sqref="F38:H38 F32:G37">
    <cfRule type="expression" dxfId="12832" priority="633">
      <formula>$E32=""</formula>
    </cfRule>
  </conditionalFormatting>
  <conditionalFormatting sqref="F38:H38 F32:G37">
    <cfRule type="expression" dxfId="12831" priority="632">
      <formula>$C32&lt;$E$3</formula>
    </cfRule>
  </conditionalFormatting>
  <conditionalFormatting sqref="F38:H38 F32:G37">
    <cfRule type="expression" dxfId="12830" priority="631">
      <formula>$E32=""</formula>
    </cfRule>
  </conditionalFormatting>
  <conditionalFormatting sqref="F38:H38 F32:G37">
    <cfRule type="expression" dxfId="12829" priority="630">
      <formula>$C32&lt;$E$3</formula>
    </cfRule>
  </conditionalFormatting>
  <conditionalFormatting sqref="F38:H38 F32:G37">
    <cfRule type="expression" dxfId="12828" priority="629">
      <formula>$E32=""</formula>
    </cfRule>
  </conditionalFormatting>
  <conditionalFormatting sqref="F38:H38 F32:G37">
    <cfRule type="expression" dxfId="12827" priority="628">
      <formula>$C32&lt;$E$3</formula>
    </cfRule>
  </conditionalFormatting>
  <conditionalFormatting sqref="F38:H38 F32:G37">
    <cfRule type="expression" dxfId="12826" priority="627">
      <formula>$E32=""</formula>
    </cfRule>
  </conditionalFormatting>
  <conditionalFormatting sqref="F41:H47">
    <cfRule type="expression" dxfId="12825" priority="626">
      <formula>$C41&lt;$E$3</formula>
    </cfRule>
  </conditionalFormatting>
  <conditionalFormatting sqref="F41:H47">
    <cfRule type="expression" dxfId="12824" priority="622">
      <formula>$C41=$E$3</formula>
    </cfRule>
    <cfRule type="expression" dxfId="12823" priority="623">
      <formula>$C41&lt;$E$3</formula>
    </cfRule>
    <cfRule type="cellIs" dxfId="12822" priority="624" operator="equal">
      <formula>0</formula>
    </cfRule>
    <cfRule type="expression" dxfId="12821" priority="625">
      <formula>$C41&gt;$E$3</formula>
    </cfRule>
  </conditionalFormatting>
  <conditionalFormatting sqref="F41:H47">
    <cfRule type="expression" dxfId="12820" priority="621">
      <formula>$C41&lt;$E$3</formula>
    </cfRule>
  </conditionalFormatting>
  <conditionalFormatting sqref="F41:H47">
    <cfRule type="expression" dxfId="12819" priority="617">
      <formula>$C41=$E$3</formula>
    </cfRule>
    <cfRule type="expression" dxfId="12818" priority="618">
      <formula>$C41&lt;$E$3</formula>
    </cfRule>
    <cfRule type="cellIs" dxfId="12817" priority="619" operator="equal">
      <formula>0</formula>
    </cfRule>
    <cfRule type="expression" dxfId="12816" priority="620">
      <formula>$C41&gt;$E$3</formula>
    </cfRule>
  </conditionalFormatting>
  <conditionalFormatting sqref="F41:H47">
    <cfRule type="expression" dxfId="12815" priority="616">
      <formula>$E41=""</formula>
    </cfRule>
  </conditionalFormatting>
  <conditionalFormatting sqref="F41:H47">
    <cfRule type="expression" dxfId="12814" priority="615">
      <formula>$C41&lt;$E$3</formula>
    </cfRule>
  </conditionalFormatting>
  <conditionalFormatting sqref="F41:H47">
    <cfRule type="expression" dxfId="12813" priority="614">
      <formula>$E41=""</formula>
    </cfRule>
  </conditionalFormatting>
  <conditionalFormatting sqref="F41:H47">
    <cfRule type="expression" dxfId="12812" priority="613">
      <formula>$E41=""</formula>
    </cfRule>
  </conditionalFormatting>
  <conditionalFormatting sqref="F41:H47">
    <cfRule type="expression" dxfId="12811" priority="612">
      <formula>$C41&lt;$E$3</formula>
    </cfRule>
  </conditionalFormatting>
  <conditionalFormatting sqref="F41:H47">
    <cfRule type="expression" dxfId="12810" priority="611">
      <formula>$E41=""</formula>
    </cfRule>
  </conditionalFormatting>
  <conditionalFormatting sqref="F41:H47">
    <cfRule type="expression" dxfId="12809" priority="610">
      <formula>$C41&lt;$E$3</formula>
    </cfRule>
  </conditionalFormatting>
  <conditionalFormatting sqref="F41:H47">
    <cfRule type="expression" dxfId="12808" priority="609">
      <formula>$E41=""</formula>
    </cfRule>
  </conditionalFormatting>
  <conditionalFormatting sqref="F41:H47">
    <cfRule type="expression" dxfId="12807" priority="608">
      <formula>$C41&lt;$E$3</formula>
    </cfRule>
  </conditionalFormatting>
  <conditionalFormatting sqref="F41:H47">
    <cfRule type="expression" dxfId="12806" priority="607">
      <formula>$E41=""</formula>
    </cfRule>
  </conditionalFormatting>
  <conditionalFormatting sqref="F50:H51">
    <cfRule type="cellIs" dxfId="12805" priority="606" stopIfTrue="1" operator="lessThan">
      <formula>0</formula>
    </cfRule>
  </conditionalFormatting>
  <conditionalFormatting sqref="F50:H51">
    <cfRule type="expression" dxfId="12804" priority="605">
      <formula>$C50&lt;$E$3</formula>
    </cfRule>
  </conditionalFormatting>
  <conditionalFormatting sqref="F50:H51">
    <cfRule type="expression" dxfId="12803" priority="601">
      <formula>$C50=$E$3</formula>
    </cfRule>
    <cfRule type="expression" dxfId="12802" priority="602">
      <formula>$C50&lt;$E$3</formula>
    </cfRule>
    <cfRule type="cellIs" dxfId="12801" priority="603" operator="equal">
      <formula>0</formula>
    </cfRule>
    <cfRule type="expression" dxfId="12800" priority="604">
      <formula>$C50&gt;$E$3</formula>
    </cfRule>
  </conditionalFormatting>
  <conditionalFormatting sqref="F50:H51">
    <cfRule type="expression" dxfId="12799" priority="600">
      <formula>$C50&lt;$E$3</formula>
    </cfRule>
  </conditionalFormatting>
  <conditionalFormatting sqref="F50:H51">
    <cfRule type="expression" dxfId="12798" priority="596">
      <formula>$C50=$E$3</formula>
    </cfRule>
    <cfRule type="expression" dxfId="12797" priority="597">
      <formula>$C50&lt;$E$3</formula>
    </cfRule>
    <cfRule type="cellIs" dxfId="12796" priority="598" operator="equal">
      <formula>0</formula>
    </cfRule>
    <cfRule type="expression" dxfId="12795" priority="599">
      <formula>$C50&gt;$E$3</formula>
    </cfRule>
  </conditionalFormatting>
  <conditionalFormatting sqref="F50:H51">
    <cfRule type="expression" dxfId="12794" priority="595">
      <formula>$C50&lt;$E$3</formula>
    </cfRule>
  </conditionalFormatting>
  <conditionalFormatting sqref="F50:H51">
    <cfRule type="expression" dxfId="12793" priority="591">
      <formula>$C50=$E$3</formula>
    </cfRule>
    <cfRule type="expression" dxfId="12792" priority="592">
      <formula>$C50&lt;$E$3</formula>
    </cfRule>
    <cfRule type="cellIs" dxfId="12791" priority="593" operator="equal">
      <formula>0</formula>
    </cfRule>
    <cfRule type="expression" dxfId="12790" priority="594">
      <formula>$C50&gt;$E$3</formula>
    </cfRule>
  </conditionalFormatting>
  <conditionalFormatting sqref="F50:H51">
    <cfRule type="expression" dxfId="12789" priority="590">
      <formula>$C50&lt;$E$3</formula>
    </cfRule>
  </conditionalFormatting>
  <conditionalFormatting sqref="F50:H51">
    <cfRule type="expression" dxfId="12788" priority="586">
      <formula>$C50=$E$3</formula>
    </cfRule>
    <cfRule type="expression" dxfId="12787" priority="587">
      <formula>$C50&lt;$E$3</formula>
    </cfRule>
    <cfRule type="cellIs" dxfId="12786" priority="588" operator="equal">
      <formula>0</formula>
    </cfRule>
    <cfRule type="expression" dxfId="12785" priority="589">
      <formula>$C50&gt;$E$3</formula>
    </cfRule>
  </conditionalFormatting>
  <conditionalFormatting sqref="F50:H51">
    <cfRule type="expression" dxfId="12784" priority="585">
      <formula>$E50=""</formula>
    </cfRule>
  </conditionalFormatting>
  <conditionalFormatting sqref="F50:H51">
    <cfRule type="expression" dxfId="12783" priority="584">
      <formula>$C50&lt;$E$3</formula>
    </cfRule>
  </conditionalFormatting>
  <conditionalFormatting sqref="F50:H51">
    <cfRule type="expression" dxfId="12782" priority="583">
      <formula>$E50=""</formula>
    </cfRule>
  </conditionalFormatting>
  <conditionalFormatting sqref="F50:H51">
    <cfRule type="expression" dxfId="12781" priority="582">
      <formula>$E50=""</formula>
    </cfRule>
  </conditionalFormatting>
  <conditionalFormatting sqref="F50:H51">
    <cfRule type="expression" dxfId="12780" priority="581">
      <formula>$C50&lt;$E$3</formula>
    </cfRule>
  </conditionalFormatting>
  <conditionalFormatting sqref="F50:H51">
    <cfRule type="expression" dxfId="12779" priority="580">
      <formula>$E50=""</formula>
    </cfRule>
  </conditionalFormatting>
  <conditionalFormatting sqref="F50:H51">
    <cfRule type="expression" dxfId="12778" priority="579">
      <formula>$C50&lt;$E$3</formula>
    </cfRule>
  </conditionalFormatting>
  <conditionalFormatting sqref="F50:H51">
    <cfRule type="expression" dxfId="12777" priority="578">
      <formula>$E50=""</formula>
    </cfRule>
  </conditionalFormatting>
  <conditionalFormatting sqref="F50:H51">
    <cfRule type="expression" dxfId="12776" priority="577">
      <formula>$C50&lt;$E$3</formula>
    </cfRule>
  </conditionalFormatting>
  <conditionalFormatting sqref="F50:H51">
    <cfRule type="expression" dxfId="12775" priority="576">
      <formula>$E50=""</formula>
    </cfRule>
  </conditionalFormatting>
  <conditionalFormatting sqref="E14:E20 E5:E11 E41:E47 E32:E38 E23:E29 E50:E51">
    <cfRule type="containsText" dxfId="12774" priority="569" operator="containsText" text="Sa">
      <formula>NOT(ISERROR(SEARCH("Sa",E5)))</formula>
    </cfRule>
    <cfRule type="containsText" dxfId="12773" priority="571" operator="containsText" text="Fr">
      <formula>NOT(ISERROR(SEARCH("Fr",E5)))</formula>
    </cfRule>
    <cfRule type="containsText" dxfId="12772" priority="572" operator="containsText" text="Th">
      <formula>NOT(ISERROR(SEARCH("Th",E5)))</formula>
    </cfRule>
  </conditionalFormatting>
  <conditionalFormatting sqref="E14:E20 E5:E11 E41:E47 E32:E38 E23:E29 E50:E51">
    <cfRule type="containsText" dxfId="12771" priority="573" operator="containsText" text="Wed">
      <formula>NOT(ISERROR(SEARCH("Wed",E5)))</formula>
    </cfRule>
    <cfRule type="containsText" dxfId="12770" priority="574" operator="containsText" text="Tu">
      <formula>NOT(ISERROR(SEARCH("Tu",E5)))</formula>
    </cfRule>
    <cfRule type="beginsWith" dxfId="12769" priority="575" operator="beginsWith" text="M">
      <formula>LEFT(E5,1)="M"</formula>
    </cfRule>
  </conditionalFormatting>
  <conditionalFormatting sqref="E14:E20 E5:E11 E41:E47 E32:E38 E23:E29 E50:E51">
    <cfRule type="containsText" dxfId="12768" priority="570" operator="containsText" text="Su">
      <formula>NOT(ISERROR(SEARCH("Su",E5)))</formula>
    </cfRule>
  </conditionalFormatting>
  <conditionalFormatting sqref="C4">
    <cfRule type="cellIs" dxfId="12767" priority="565" stopIfTrue="1" operator="notBetween">
      <formula>$B$2</formula>
      <formula>$B$3</formula>
    </cfRule>
  </conditionalFormatting>
  <conditionalFormatting sqref="C4">
    <cfRule type="cellIs" dxfId="12766" priority="566" operator="greaterThan">
      <formula>$E$3</formula>
    </cfRule>
    <cfRule type="cellIs" dxfId="12765" priority="567" operator="equal">
      <formula>$E$3</formula>
    </cfRule>
    <cfRule type="cellIs" dxfId="12764" priority="568" operator="lessThan">
      <formula>$E$3</formula>
    </cfRule>
  </conditionalFormatting>
  <conditionalFormatting sqref="J23:J29 J5:J11 J50:J51 L5:N11 L14:M20 L23:M29 J41:N41 L50:N51 J32:J38 L32:M38 N15:N16 N18 J14:J20 J43:N47 J42:M42">
    <cfRule type="cellIs" dxfId="12763" priority="563" stopIfTrue="1" operator="lessThan">
      <formula>0</formula>
    </cfRule>
  </conditionalFormatting>
  <conditionalFormatting sqref="J5:J11 J50:J51 L5:M11 L50:M51 J14:M20 J23:M29 J32:M38 J41:M47">
    <cfRule type="expression" dxfId="12762" priority="561">
      <formula>$C5&lt;$E$3</formula>
    </cfRule>
  </conditionalFormatting>
  <conditionalFormatting sqref="J5:J11 J50:J51 L5:M11 L50:M51 J14:M20 J23:M29 J32:M38 J41:M47">
    <cfRule type="expression" dxfId="12761" priority="558">
      <formula>$C5=$E$3</formula>
    </cfRule>
    <cfRule type="expression" dxfId="12760" priority="559">
      <formula>$C5&lt;$E$3</formula>
    </cfRule>
    <cfRule type="cellIs" dxfId="12759" priority="560" operator="equal">
      <formula>0</formula>
    </cfRule>
    <cfRule type="expression" dxfId="12758" priority="562">
      <formula>$C5&gt;$E$3</formula>
    </cfRule>
  </conditionalFormatting>
  <conditionalFormatting sqref="J5:J11 J50:J51 L5:M11 L50:M51 J14:M20 J23:M29 J32:M38 J41:M47">
    <cfRule type="expression" dxfId="12757" priority="557">
      <formula>$E5=""</formula>
    </cfRule>
  </conditionalFormatting>
  <conditionalFormatting sqref="J5:J11 J50:J51 L5:M11 L50:M51 J14:M20 J23:M29 J32:M38 J41:M47">
    <cfRule type="expression" dxfId="12756" priority="556">
      <formula>$E5=""</formula>
    </cfRule>
  </conditionalFormatting>
  <conditionalFormatting sqref="J5:J11 J50:J51 L5:M11 L50:M51 J14:M20 J23:M29 J32:M38 J41:M47">
    <cfRule type="expression" dxfId="12755" priority="555">
      <formula>$E5=""</formula>
    </cfRule>
  </conditionalFormatting>
  <conditionalFormatting sqref="M5:M11 M14:M20 M23:M29 M32:M38 M41:M47 M50:M51">
    <cfRule type="expression" dxfId="12754" priority="554">
      <formula>$C5&lt;$E$3</formula>
    </cfRule>
  </conditionalFormatting>
  <conditionalFormatting sqref="M5:M11 M14:M20 M23:M29 M32:M38 M41:M47 M50:M51">
    <cfRule type="expression" dxfId="12753" priority="550">
      <formula>$C5=$E$3</formula>
    </cfRule>
    <cfRule type="expression" dxfId="12752" priority="551">
      <formula>$C5&lt;$E$3</formula>
    </cfRule>
    <cfRule type="cellIs" dxfId="12751" priority="552" operator="equal">
      <formula>0</formula>
    </cfRule>
    <cfRule type="expression" dxfId="12750" priority="553">
      <formula>$C5&gt;$E$3</formula>
    </cfRule>
  </conditionalFormatting>
  <conditionalFormatting sqref="M5:M11 M14:M20 M23:M29 M32:M38 M41:M47 M50:M51">
    <cfRule type="expression" dxfId="12749" priority="549">
      <formula>$C5&lt;$E$3</formula>
    </cfRule>
  </conditionalFormatting>
  <conditionalFormatting sqref="M5:M11 M14:M20 M23:M29 M32:M38 M41:M47 M50:M51">
    <cfRule type="expression" dxfId="12748" priority="545">
      <formula>$C5=$E$3</formula>
    </cfRule>
    <cfRule type="expression" dxfId="12747" priority="546">
      <formula>$C5&lt;$E$3</formula>
    </cfRule>
    <cfRule type="cellIs" dxfId="12746" priority="547" operator="equal">
      <formula>0</formula>
    </cfRule>
    <cfRule type="expression" dxfId="12745" priority="548">
      <formula>$C5&gt;$E$3</formula>
    </cfRule>
  </conditionalFormatting>
  <conditionalFormatting sqref="M5:M11 M14:M20 M23:M29 M32:M38 M41:M47 M50:M51">
    <cfRule type="expression" dxfId="12744" priority="544">
      <formula>$C5&lt;$E$3</formula>
    </cfRule>
  </conditionalFormatting>
  <conditionalFormatting sqref="M5:M11 M14:M20 M23:M29 M32:M38 M41:M47 M50:M51">
    <cfRule type="expression" dxfId="12743" priority="540">
      <formula>$C5=$E$3</formula>
    </cfRule>
    <cfRule type="expression" dxfId="12742" priority="541">
      <formula>$C5&lt;$E$3</formula>
    </cfRule>
    <cfRule type="cellIs" dxfId="12741" priority="542" operator="equal">
      <formula>0</formula>
    </cfRule>
    <cfRule type="expression" dxfId="12740" priority="543">
      <formula>$C5&gt;$E$3</formula>
    </cfRule>
  </conditionalFormatting>
  <conditionalFormatting sqref="M5:M11 M14:M20 M23:M29 M32:M38 M41:M47 M50:M51">
    <cfRule type="expression" dxfId="12739" priority="539">
      <formula>$C5&lt;$E$3</formula>
    </cfRule>
  </conditionalFormatting>
  <conditionalFormatting sqref="M5:M11 M14:M20 M23:M29 M32:M38 M41:M47 M50:M51">
    <cfRule type="expression" dxfId="12738" priority="535">
      <formula>$C5=$E$3</formula>
    </cfRule>
    <cfRule type="expression" dxfId="12737" priority="536">
      <formula>$C5&lt;$E$3</formula>
    </cfRule>
    <cfRule type="cellIs" dxfId="12736" priority="537" operator="equal">
      <formula>0</formula>
    </cfRule>
    <cfRule type="expression" dxfId="12735" priority="538">
      <formula>$C5&gt;$E$3</formula>
    </cfRule>
  </conditionalFormatting>
  <conditionalFormatting sqref="M5:M11 M14:M20 M23:M29 M32:M38 M41:M47 M50:M51">
    <cfRule type="expression" dxfId="12734" priority="534">
      <formula>$E5=""</formula>
    </cfRule>
  </conditionalFormatting>
  <conditionalFormatting sqref="M5:M11 M14:M20 M23:M29 M32:M38 M41:M47 M50:M51">
    <cfRule type="expression" dxfId="12733" priority="533">
      <formula>$C5&lt;$E$3</formula>
    </cfRule>
  </conditionalFormatting>
  <conditionalFormatting sqref="M5:M11 M14:M20 M23:M29 M32:M38 M41:M47 M50:M51">
    <cfRule type="expression" dxfId="12732" priority="532">
      <formula>$E5=""</formula>
    </cfRule>
  </conditionalFormatting>
  <conditionalFormatting sqref="M5:M11 M23:M29 M32:M38 M41:M47 M50:M51 M14:M20">
    <cfRule type="expression" dxfId="12731" priority="531">
      <formula>$E5=""</formula>
    </cfRule>
  </conditionalFormatting>
  <conditionalFormatting sqref="M5:M11 M14:M20 M23:M29 M32:M38 M41:M47 M50:M51">
    <cfRule type="expression" dxfId="12730" priority="530">
      <formula>$C5&lt;$E$3</formula>
    </cfRule>
  </conditionalFormatting>
  <conditionalFormatting sqref="M5:M11 M14:M20 M23:M29 M32:M38 M41:M47 M50:M51">
    <cfRule type="expression" dxfId="12729" priority="529">
      <formula>$E5=""</formula>
    </cfRule>
  </conditionalFormatting>
  <conditionalFormatting sqref="M5:M11 M14:M20 M23:M29 M32:M38 M41:M47 M50:M51">
    <cfRule type="expression" dxfId="12728" priority="528">
      <formula>$C5&lt;$E$3</formula>
    </cfRule>
  </conditionalFormatting>
  <conditionalFormatting sqref="M5:M11 M14:M20 M23:M29 M32:M38 M41:M47 M50:M51">
    <cfRule type="expression" dxfId="12727" priority="527">
      <formula>$E5=""</formula>
    </cfRule>
  </conditionalFormatting>
  <conditionalFormatting sqref="M5:M11 M14:M20 M23:M29 M32:M38 M41:M47 M50:M51">
    <cfRule type="expression" dxfId="12726" priority="526">
      <formula>$C5&lt;$E$3</formula>
    </cfRule>
  </conditionalFormatting>
  <conditionalFormatting sqref="M5:M11 M14:M20 M23:M29 M32:M38 M41:M47 M50:M51">
    <cfRule type="expression" dxfId="12725" priority="525">
      <formula>$E5=""</formula>
    </cfRule>
  </conditionalFormatting>
  <conditionalFormatting sqref="M5:M11 M14:M20 M23:M29 M32:M38 M41:M47 M50:M51">
    <cfRule type="expression" dxfId="12724" priority="524">
      <formula>$C5&lt;$E$3</formula>
    </cfRule>
  </conditionalFormatting>
  <conditionalFormatting sqref="M5:M11 M14:M20 M23:M29 M32:M38 M41:M47 M50:M51">
    <cfRule type="expression" dxfId="12723" priority="520">
      <formula>$C5=$E$3</formula>
    </cfRule>
    <cfRule type="expression" dxfId="12722" priority="521">
      <formula>$C5&lt;$E$3</formula>
    </cfRule>
    <cfRule type="cellIs" dxfId="12721" priority="522" operator="equal">
      <formula>0</formula>
    </cfRule>
    <cfRule type="expression" dxfId="12720" priority="523">
      <formula>$C5&gt;$E$3</formula>
    </cfRule>
  </conditionalFormatting>
  <conditionalFormatting sqref="M5:M11 M14:M20 M23:M29 M32:M38 M41:M47 M50:M51">
    <cfRule type="expression" dxfId="12719" priority="519">
      <formula>$C5&lt;$E$3</formula>
    </cfRule>
  </conditionalFormatting>
  <conditionalFormatting sqref="M5:M11 M14:M20 M23:M29 M32:M38 M41:M47 M50:M51">
    <cfRule type="expression" dxfId="12718" priority="515">
      <formula>$C5=$E$3</formula>
    </cfRule>
    <cfRule type="expression" dxfId="12717" priority="516">
      <formula>$C5&lt;$E$3</formula>
    </cfRule>
    <cfRule type="cellIs" dxfId="12716" priority="517" operator="equal">
      <formula>0</formula>
    </cfRule>
    <cfRule type="expression" dxfId="12715" priority="518">
      <formula>$C5&gt;$E$3</formula>
    </cfRule>
  </conditionalFormatting>
  <conditionalFormatting sqref="M5:M11 M14:M20 M23:M29 M32:M38 M41:M47 M50:M51">
    <cfRule type="expression" dxfId="12714" priority="514">
      <formula>$C5&lt;$E$3</formula>
    </cfRule>
  </conditionalFormatting>
  <conditionalFormatting sqref="M5:M11 M14:M20 M23:M29 M32:M38 M41:M47 M50:M51">
    <cfRule type="expression" dxfId="12713" priority="510">
      <formula>$C5=$E$3</formula>
    </cfRule>
    <cfRule type="expression" dxfId="12712" priority="511">
      <formula>$C5&lt;$E$3</formula>
    </cfRule>
    <cfRule type="cellIs" dxfId="12711" priority="512" operator="equal">
      <formula>0</formula>
    </cfRule>
    <cfRule type="expression" dxfId="12710" priority="513">
      <formula>$C5&gt;$E$3</formula>
    </cfRule>
  </conditionalFormatting>
  <conditionalFormatting sqref="M5:M11 M14:M20 M23:M29 M32:M38 M41:M47 M50:M51">
    <cfRule type="expression" dxfId="12709" priority="509">
      <formula>$C5&lt;$E$3</formula>
    </cfRule>
  </conditionalFormatting>
  <conditionalFormatting sqref="M5:M11 M14:M20 M23:M29 M32:M38 M41:M47 M50:M51">
    <cfRule type="expression" dxfId="12708" priority="505">
      <formula>$C5=$E$3</formula>
    </cfRule>
    <cfRule type="expression" dxfId="12707" priority="506">
      <formula>$C5&lt;$E$3</formula>
    </cfRule>
    <cfRule type="cellIs" dxfId="12706" priority="507" operator="equal">
      <formula>0</formula>
    </cfRule>
    <cfRule type="expression" dxfId="12705" priority="508">
      <formula>$C5&gt;$E$3</formula>
    </cfRule>
  </conditionalFormatting>
  <conditionalFormatting sqref="M5:M11 M14:M20 M23:M29 M32:M38 M41:M47 M50:M51">
    <cfRule type="expression" dxfId="12704" priority="504">
      <formula>$E5=""</formula>
    </cfRule>
  </conditionalFormatting>
  <conditionalFormatting sqref="M5:M11 M14:M20 M23:M29 M32:M38 M41:M47 M50:M51">
    <cfRule type="expression" dxfId="12703" priority="503">
      <formula>$C5&lt;$E$3</formula>
    </cfRule>
  </conditionalFormatting>
  <conditionalFormatting sqref="M5:M11 M14:M20 M23:M29 M32:M38 M41:M47 M50:M51">
    <cfRule type="expression" dxfId="12702" priority="502">
      <formula>$E5=""</formula>
    </cfRule>
  </conditionalFormatting>
  <conditionalFormatting sqref="M5:M11 M23:M29 M32:M38 M41:M47 M50:M51 M14:M20">
    <cfRule type="expression" dxfId="12701" priority="501">
      <formula>$E5=""</formula>
    </cfRule>
  </conditionalFormatting>
  <conditionalFormatting sqref="M5:M11 M14:M20 M23:M29 M32:M38 M41:M47 M50:M51">
    <cfRule type="expression" dxfId="12700" priority="500">
      <formula>$C5&lt;$E$3</formula>
    </cfRule>
  </conditionalFormatting>
  <conditionalFormatting sqref="M5:M11 M14:M20 M23:M29 M32:M38 M41:M47 M50:M51">
    <cfRule type="expression" dxfId="12699" priority="499">
      <formula>$E5=""</formula>
    </cfRule>
  </conditionalFormatting>
  <conditionalFormatting sqref="M5:M11 M14:M20 M23:M29 M32:M38 M41:M47 M50:M51">
    <cfRule type="expression" dxfId="12698" priority="498">
      <formula>$C5&lt;$E$3</formula>
    </cfRule>
  </conditionalFormatting>
  <conditionalFormatting sqref="M5:M11 M14:M20 M23:M29 M32:M38 M41:M47 M50:M51">
    <cfRule type="expression" dxfId="12697" priority="497">
      <formula>$E5=""</formula>
    </cfRule>
  </conditionalFormatting>
  <conditionalFormatting sqref="M5:M11 M14:M20 M23:M29 M32:M38 M41:M47 M50:M51">
    <cfRule type="expression" dxfId="12696" priority="496">
      <formula>$C5&lt;$E$3</formula>
    </cfRule>
  </conditionalFormatting>
  <conditionalFormatting sqref="M5:M11 M14:M20 M23:M29 M32:M38 M41:M47 M50:M51">
    <cfRule type="expression" dxfId="12695" priority="495">
      <formula>$E5=""</formula>
    </cfRule>
  </conditionalFormatting>
  <conditionalFormatting sqref="K10">
    <cfRule type="expression" dxfId="12694" priority="494">
      <formula>$C10&lt;$E$3</formula>
    </cfRule>
  </conditionalFormatting>
  <conditionalFormatting sqref="K10">
    <cfRule type="expression" dxfId="12693" priority="490">
      <formula>$C10=$E$3</formula>
    </cfRule>
    <cfRule type="expression" dxfId="12692" priority="491">
      <formula>$C10&lt;$E$3</formula>
    </cfRule>
    <cfRule type="cellIs" dxfId="12691" priority="492" operator="equal">
      <formula>0</formula>
    </cfRule>
    <cfRule type="expression" dxfId="12690" priority="493">
      <formula>$C10&gt;$E$3</formula>
    </cfRule>
  </conditionalFormatting>
  <conditionalFormatting sqref="K10">
    <cfRule type="expression" dxfId="12689" priority="489">
      <formula>$C10&lt;$E$3</formula>
    </cfRule>
  </conditionalFormatting>
  <conditionalFormatting sqref="K10">
    <cfRule type="expression" dxfId="12688" priority="485">
      <formula>$C10=$E$3</formula>
    </cfRule>
    <cfRule type="expression" dxfId="12687" priority="486">
      <formula>$C10&lt;$E$3</formula>
    </cfRule>
    <cfRule type="cellIs" dxfId="12686" priority="487" operator="equal">
      <formula>0</formula>
    </cfRule>
    <cfRule type="expression" dxfId="12685" priority="488">
      <formula>$C10&gt;$E$3</formula>
    </cfRule>
  </conditionalFormatting>
  <conditionalFormatting sqref="K10">
    <cfRule type="expression" dxfId="12684" priority="484">
      <formula>$C10&lt;$E$3</formula>
    </cfRule>
  </conditionalFormatting>
  <conditionalFormatting sqref="K10">
    <cfRule type="expression" dxfId="12683" priority="480">
      <formula>$C10=$E$3</formula>
    </cfRule>
    <cfRule type="expression" dxfId="12682" priority="481">
      <formula>$C10&lt;$E$3</formula>
    </cfRule>
    <cfRule type="cellIs" dxfId="12681" priority="482" operator="equal">
      <formula>0</formula>
    </cfRule>
    <cfRule type="expression" dxfId="12680" priority="483">
      <formula>$C10&gt;$E$3</formula>
    </cfRule>
  </conditionalFormatting>
  <conditionalFormatting sqref="K10">
    <cfRule type="expression" dxfId="12679" priority="479">
      <formula>$C10&lt;$E$3</formula>
    </cfRule>
  </conditionalFormatting>
  <conditionalFormatting sqref="K10">
    <cfRule type="expression" dxfId="12678" priority="475">
      <formula>$C10=$E$3</formula>
    </cfRule>
    <cfRule type="expression" dxfId="12677" priority="476">
      <formula>$C10&lt;$E$3</formula>
    </cfRule>
    <cfRule type="cellIs" dxfId="12676" priority="477" operator="equal">
      <formula>0</formula>
    </cfRule>
    <cfRule type="expression" dxfId="12675" priority="478">
      <formula>$C10&gt;$E$3</formula>
    </cfRule>
  </conditionalFormatting>
  <conditionalFormatting sqref="K10">
    <cfRule type="expression" dxfId="12674" priority="474">
      <formula>$E10=""</formula>
    </cfRule>
  </conditionalFormatting>
  <conditionalFormatting sqref="K10">
    <cfRule type="expression" dxfId="12673" priority="473">
      <formula>$C10&lt;$E$3</formula>
    </cfRule>
  </conditionalFormatting>
  <conditionalFormatting sqref="K10">
    <cfRule type="expression" dxfId="12672" priority="472">
      <formula>$E10=""</formula>
    </cfRule>
  </conditionalFormatting>
  <conditionalFormatting sqref="K10">
    <cfRule type="expression" dxfId="12671" priority="471">
      <formula>$E10=""</formula>
    </cfRule>
  </conditionalFormatting>
  <conditionalFormatting sqref="K10">
    <cfRule type="expression" dxfId="12670" priority="470">
      <formula>$C10&lt;$E$3</formula>
    </cfRule>
  </conditionalFormatting>
  <conditionalFormatting sqref="K10">
    <cfRule type="expression" dxfId="12669" priority="469">
      <formula>$E10=""</formula>
    </cfRule>
  </conditionalFormatting>
  <conditionalFormatting sqref="K10">
    <cfRule type="expression" dxfId="12668" priority="468">
      <formula>$C10&lt;$E$3</formula>
    </cfRule>
  </conditionalFormatting>
  <conditionalFormatting sqref="K10">
    <cfRule type="expression" dxfId="12667" priority="467">
      <formula>$E10=""</formula>
    </cfRule>
  </conditionalFormatting>
  <conditionalFormatting sqref="K10">
    <cfRule type="expression" dxfId="12666" priority="466">
      <formula>$C10&lt;$E$3</formula>
    </cfRule>
  </conditionalFormatting>
  <conditionalFormatting sqref="K10">
    <cfRule type="expression" dxfId="12665" priority="465">
      <formula>$E10=""</formula>
    </cfRule>
  </conditionalFormatting>
  <conditionalFormatting sqref="K10">
    <cfRule type="expression" dxfId="12664" priority="464">
      <formula>$C10&lt;$E$3</formula>
    </cfRule>
  </conditionalFormatting>
  <conditionalFormatting sqref="K10">
    <cfRule type="expression" dxfId="12663" priority="460">
      <formula>$C10=$E$3</formula>
    </cfRule>
    <cfRule type="expression" dxfId="12662" priority="461">
      <formula>$C10&lt;$E$3</formula>
    </cfRule>
    <cfRule type="cellIs" dxfId="12661" priority="462" operator="equal">
      <formula>0</formula>
    </cfRule>
    <cfRule type="expression" dxfId="12660" priority="463">
      <formula>$C10&gt;$E$3</formula>
    </cfRule>
  </conditionalFormatting>
  <conditionalFormatting sqref="K10">
    <cfRule type="expression" dxfId="12659" priority="459">
      <formula>$C10&lt;$E$3</formula>
    </cfRule>
  </conditionalFormatting>
  <conditionalFormatting sqref="K10">
    <cfRule type="expression" dxfId="12658" priority="455">
      <formula>$C10=$E$3</formula>
    </cfRule>
    <cfRule type="expression" dxfId="12657" priority="456">
      <formula>$C10&lt;$E$3</formula>
    </cfRule>
    <cfRule type="cellIs" dxfId="12656" priority="457" operator="equal">
      <formula>0</formula>
    </cfRule>
    <cfRule type="expression" dxfId="12655" priority="458">
      <formula>$C10&gt;$E$3</formula>
    </cfRule>
  </conditionalFormatting>
  <conditionalFormatting sqref="K10">
    <cfRule type="expression" dxfId="12654" priority="454">
      <formula>$C10&lt;$E$3</formula>
    </cfRule>
  </conditionalFormatting>
  <conditionalFormatting sqref="K10">
    <cfRule type="expression" dxfId="12653" priority="450">
      <formula>$C10=$E$3</formula>
    </cfRule>
    <cfRule type="expression" dxfId="12652" priority="451">
      <formula>$C10&lt;$E$3</formula>
    </cfRule>
    <cfRule type="cellIs" dxfId="12651" priority="452" operator="equal">
      <formula>0</formula>
    </cfRule>
    <cfRule type="expression" dxfId="12650" priority="453">
      <formula>$C10&gt;$E$3</formula>
    </cfRule>
  </conditionalFormatting>
  <conditionalFormatting sqref="K10">
    <cfRule type="expression" dxfId="12649" priority="449">
      <formula>$C10&lt;$E$3</formula>
    </cfRule>
  </conditionalFormatting>
  <conditionalFormatting sqref="K10">
    <cfRule type="expression" dxfId="12648" priority="445">
      <formula>$C10=$E$3</formula>
    </cfRule>
    <cfRule type="expression" dxfId="12647" priority="446">
      <formula>$C10&lt;$E$3</formula>
    </cfRule>
    <cfRule type="cellIs" dxfId="12646" priority="447" operator="equal">
      <formula>0</formula>
    </cfRule>
    <cfRule type="expression" dxfId="12645" priority="448">
      <formula>$C10&gt;$E$3</formula>
    </cfRule>
  </conditionalFormatting>
  <conditionalFormatting sqref="K10">
    <cfRule type="expression" dxfId="12644" priority="444">
      <formula>$E10=""</formula>
    </cfRule>
  </conditionalFormatting>
  <conditionalFormatting sqref="K10">
    <cfRule type="expression" dxfId="12643" priority="443">
      <formula>$C10&lt;$E$3</formula>
    </cfRule>
  </conditionalFormatting>
  <conditionalFormatting sqref="K10">
    <cfRule type="expression" dxfId="12642" priority="442">
      <formula>$E10=""</formula>
    </cfRule>
  </conditionalFormatting>
  <conditionalFormatting sqref="K10">
    <cfRule type="expression" dxfId="12641" priority="441">
      <formula>$E10=""</formula>
    </cfRule>
  </conditionalFormatting>
  <conditionalFormatting sqref="K10">
    <cfRule type="expression" dxfId="12640" priority="440">
      <formula>$C10&lt;$E$3</formula>
    </cfRule>
  </conditionalFormatting>
  <conditionalFormatting sqref="K10">
    <cfRule type="expression" dxfId="12639" priority="439">
      <formula>$E10=""</formula>
    </cfRule>
  </conditionalFormatting>
  <conditionalFormatting sqref="K10">
    <cfRule type="expression" dxfId="12638" priority="438">
      <formula>$C10&lt;$E$3</formula>
    </cfRule>
  </conditionalFormatting>
  <conditionalFormatting sqref="K10">
    <cfRule type="expression" dxfId="12637" priority="437">
      <formula>$E10=""</formula>
    </cfRule>
  </conditionalFormatting>
  <conditionalFormatting sqref="K10">
    <cfRule type="expression" dxfId="12636" priority="436">
      <formula>$C10&lt;$E$3</formula>
    </cfRule>
  </conditionalFormatting>
  <conditionalFormatting sqref="K10">
    <cfRule type="expression" dxfId="12635" priority="435">
      <formula>$E10=""</formula>
    </cfRule>
  </conditionalFormatting>
  <conditionalFormatting sqref="K5:K9">
    <cfRule type="expression" dxfId="12634" priority="434">
      <formula>$C5&lt;$E$3</formula>
    </cfRule>
  </conditionalFormatting>
  <conditionalFormatting sqref="K5:K9">
    <cfRule type="expression" dxfId="12633" priority="430">
      <formula>$C5=$E$3</formula>
    </cfRule>
    <cfRule type="expression" dxfId="12632" priority="431">
      <formula>$C5&lt;$E$3</formula>
    </cfRule>
    <cfRule type="cellIs" dxfId="12631" priority="432" operator="equal">
      <formula>0</formula>
    </cfRule>
    <cfRule type="expression" dxfId="12630" priority="433">
      <formula>$C5&gt;$E$3</formula>
    </cfRule>
  </conditionalFormatting>
  <conditionalFormatting sqref="K5:K9">
    <cfRule type="expression" dxfId="12629" priority="429">
      <formula>$C5&lt;$E$3</formula>
    </cfRule>
  </conditionalFormatting>
  <conditionalFormatting sqref="K5:K9">
    <cfRule type="expression" dxfId="12628" priority="425">
      <formula>$C5=$E$3</formula>
    </cfRule>
    <cfRule type="expression" dxfId="12627" priority="426">
      <formula>$C5&lt;$E$3</formula>
    </cfRule>
    <cfRule type="cellIs" dxfId="12626" priority="427" operator="equal">
      <formula>0</formula>
    </cfRule>
    <cfRule type="expression" dxfId="12625" priority="428">
      <formula>$C5&gt;$E$3</formula>
    </cfRule>
  </conditionalFormatting>
  <conditionalFormatting sqref="K5:K9">
    <cfRule type="expression" dxfId="12624" priority="424">
      <formula>$C5&lt;$E$3</formula>
    </cfRule>
  </conditionalFormatting>
  <conditionalFormatting sqref="K5:K9">
    <cfRule type="expression" dxfId="12623" priority="420">
      <formula>$C5=$E$3</formula>
    </cfRule>
    <cfRule type="expression" dxfId="12622" priority="421">
      <formula>$C5&lt;$E$3</formula>
    </cfRule>
    <cfRule type="cellIs" dxfId="12621" priority="422" operator="equal">
      <formula>0</formula>
    </cfRule>
    <cfRule type="expression" dxfId="12620" priority="423">
      <formula>$C5&gt;$E$3</formula>
    </cfRule>
  </conditionalFormatting>
  <conditionalFormatting sqref="K5:K9">
    <cfRule type="expression" dxfId="12619" priority="419">
      <formula>$C5&lt;$E$3</formula>
    </cfRule>
  </conditionalFormatting>
  <conditionalFormatting sqref="K5:K9">
    <cfRule type="expression" dxfId="12618" priority="415">
      <formula>$C5=$E$3</formula>
    </cfRule>
    <cfRule type="expression" dxfId="12617" priority="416">
      <formula>$C5&lt;$E$3</formula>
    </cfRule>
    <cfRule type="cellIs" dxfId="12616" priority="417" operator="equal">
      <formula>0</formula>
    </cfRule>
    <cfRule type="expression" dxfId="12615" priority="418">
      <formula>$C5&gt;$E$3</formula>
    </cfRule>
  </conditionalFormatting>
  <conditionalFormatting sqref="K5:K9">
    <cfRule type="expression" dxfId="12614" priority="414">
      <formula>$E5=""</formula>
    </cfRule>
  </conditionalFormatting>
  <conditionalFormatting sqref="K5:K9">
    <cfRule type="expression" dxfId="12613" priority="413">
      <formula>$C5&lt;$E$3</formula>
    </cfRule>
  </conditionalFormatting>
  <conditionalFormatting sqref="K5:K9">
    <cfRule type="expression" dxfId="12612" priority="412">
      <formula>$E5=""</formula>
    </cfRule>
  </conditionalFormatting>
  <conditionalFormatting sqref="K5:K9">
    <cfRule type="expression" dxfId="12611" priority="411">
      <formula>$E5=""</formula>
    </cfRule>
  </conditionalFormatting>
  <conditionalFormatting sqref="K5:K9">
    <cfRule type="expression" dxfId="12610" priority="410">
      <formula>$C5&lt;$E$3</formula>
    </cfRule>
  </conditionalFormatting>
  <conditionalFormatting sqref="K5:K9">
    <cfRule type="expression" dxfId="12609" priority="409">
      <formula>$E5=""</formula>
    </cfRule>
  </conditionalFormatting>
  <conditionalFormatting sqref="K5:K9">
    <cfRule type="expression" dxfId="12608" priority="408">
      <formula>$C5&lt;$E$3</formula>
    </cfRule>
  </conditionalFormatting>
  <conditionalFormatting sqref="K5:K9">
    <cfRule type="expression" dxfId="12607" priority="407">
      <formula>$E5=""</formula>
    </cfRule>
  </conditionalFormatting>
  <conditionalFormatting sqref="K5:K9">
    <cfRule type="expression" dxfId="12606" priority="406">
      <formula>$C5&lt;$E$3</formula>
    </cfRule>
  </conditionalFormatting>
  <conditionalFormatting sqref="K5:K9">
    <cfRule type="expression" dxfId="12605" priority="405">
      <formula>$E5=""</formula>
    </cfRule>
  </conditionalFormatting>
  <conditionalFormatting sqref="K5:K9">
    <cfRule type="expression" dxfId="12604" priority="404">
      <formula>$C5&lt;$E$3</formula>
    </cfRule>
  </conditionalFormatting>
  <conditionalFormatting sqref="K5:K9">
    <cfRule type="expression" dxfId="12603" priority="400">
      <formula>$C5=$E$3</formula>
    </cfRule>
    <cfRule type="expression" dxfId="12602" priority="401">
      <formula>$C5&lt;$E$3</formula>
    </cfRule>
    <cfRule type="cellIs" dxfId="12601" priority="402" operator="equal">
      <formula>0</formula>
    </cfRule>
    <cfRule type="expression" dxfId="12600" priority="403">
      <formula>$C5&gt;$E$3</formula>
    </cfRule>
  </conditionalFormatting>
  <conditionalFormatting sqref="K5:K9">
    <cfRule type="expression" dxfId="12599" priority="399">
      <formula>$C5&lt;$E$3</formula>
    </cfRule>
  </conditionalFormatting>
  <conditionalFormatting sqref="K5:K9">
    <cfRule type="expression" dxfId="12598" priority="395">
      <formula>$C5=$E$3</formula>
    </cfRule>
    <cfRule type="expression" dxfId="12597" priority="396">
      <formula>$C5&lt;$E$3</formula>
    </cfRule>
    <cfRule type="cellIs" dxfId="12596" priority="397" operator="equal">
      <formula>0</formula>
    </cfRule>
    <cfRule type="expression" dxfId="12595" priority="398">
      <formula>$C5&gt;$E$3</formula>
    </cfRule>
  </conditionalFormatting>
  <conditionalFormatting sqref="K5:K9">
    <cfRule type="expression" dxfId="12594" priority="394">
      <formula>$C5&lt;$E$3</formula>
    </cfRule>
  </conditionalFormatting>
  <conditionalFormatting sqref="K5:K9">
    <cfRule type="expression" dxfId="12593" priority="390">
      <formula>$C5=$E$3</formula>
    </cfRule>
    <cfRule type="expression" dxfId="12592" priority="391">
      <formula>$C5&lt;$E$3</formula>
    </cfRule>
    <cfRule type="cellIs" dxfId="12591" priority="392" operator="equal">
      <formula>0</formula>
    </cfRule>
    <cfRule type="expression" dxfId="12590" priority="393">
      <formula>$C5&gt;$E$3</formula>
    </cfRule>
  </conditionalFormatting>
  <conditionalFormatting sqref="K5:K9">
    <cfRule type="expression" dxfId="12589" priority="389">
      <formula>$C5&lt;$E$3</formula>
    </cfRule>
  </conditionalFormatting>
  <conditionalFormatting sqref="K5:K9">
    <cfRule type="expression" dxfId="12588" priority="385">
      <formula>$C5=$E$3</formula>
    </cfRule>
    <cfRule type="expression" dxfId="12587" priority="386">
      <formula>$C5&lt;$E$3</formula>
    </cfRule>
    <cfRule type="cellIs" dxfId="12586" priority="387" operator="equal">
      <formula>0</formula>
    </cfRule>
    <cfRule type="expression" dxfId="12585" priority="388">
      <formula>$C5&gt;$E$3</formula>
    </cfRule>
  </conditionalFormatting>
  <conditionalFormatting sqref="K5:K9">
    <cfRule type="expression" dxfId="12584" priority="384">
      <formula>$E5=""</formula>
    </cfRule>
  </conditionalFormatting>
  <conditionalFormatting sqref="K5:K9">
    <cfRule type="expression" dxfId="12583" priority="383">
      <formula>$C5&lt;$E$3</formula>
    </cfRule>
  </conditionalFormatting>
  <conditionalFormatting sqref="K5:K9">
    <cfRule type="expression" dxfId="12582" priority="382">
      <formula>$E5=""</formula>
    </cfRule>
  </conditionalFormatting>
  <conditionalFormatting sqref="K5:K9">
    <cfRule type="expression" dxfId="12581" priority="381">
      <formula>$E5=""</formula>
    </cfRule>
  </conditionalFormatting>
  <conditionalFormatting sqref="K5:K9">
    <cfRule type="expression" dxfId="12580" priority="380">
      <formula>$C5&lt;$E$3</formula>
    </cfRule>
  </conditionalFormatting>
  <conditionalFormatting sqref="K5:K9">
    <cfRule type="expression" dxfId="12579" priority="379">
      <formula>$E5=""</formula>
    </cfRule>
  </conditionalFormatting>
  <conditionalFormatting sqref="K5:K9">
    <cfRule type="expression" dxfId="12578" priority="378">
      <formula>$C5&lt;$E$3</formula>
    </cfRule>
  </conditionalFormatting>
  <conditionalFormatting sqref="K5:K9">
    <cfRule type="expression" dxfId="12577" priority="377">
      <formula>$E5=""</formula>
    </cfRule>
  </conditionalFormatting>
  <conditionalFormatting sqref="K5:K9">
    <cfRule type="expression" dxfId="12576" priority="376">
      <formula>$C5&lt;$E$3</formula>
    </cfRule>
  </conditionalFormatting>
  <conditionalFormatting sqref="K5:K9">
    <cfRule type="expression" dxfId="12575" priority="375">
      <formula>$E5=""</formula>
    </cfRule>
  </conditionalFormatting>
  <conditionalFormatting sqref="H23:H29 H32 H14:H20 H11">
    <cfRule type="cellIs" dxfId="12574" priority="252" stopIfTrue="1" operator="lessThan">
      <formula>0</formula>
    </cfRule>
  </conditionalFormatting>
  <conditionalFormatting sqref="H12">
    <cfRule type="expression" dxfId="12573" priority="251">
      <formula>$F12&gt;=$F13</formula>
    </cfRule>
  </conditionalFormatting>
  <conditionalFormatting sqref="H21">
    <cfRule type="expression" dxfId="12572" priority="250">
      <formula>$F21&gt;=$F22</formula>
    </cfRule>
  </conditionalFormatting>
  <conditionalFormatting sqref="H30">
    <cfRule type="expression" dxfId="12571" priority="249">
      <formula>$F30&gt;=$F31</formula>
    </cfRule>
  </conditionalFormatting>
  <conditionalFormatting sqref="H12">
    <cfRule type="expression" dxfId="12570" priority="248">
      <formula>$F12&gt;=$F13</formula>
    </cfRule>
  </conditionalFormatting>
  <conditionalFormatting sqref="H21">
    <cfRule type="expression" dxfId="12569" priority="247">
      <formula>$F21&gt;=$F22</formula>
    </cfRule>
  </conditionalFormatting>
  <conditionalFormatting sqref="H30">
    <cfRule type="expression" dxfId="12568" priority="246">
      <formula>$F30&gt;=$F31</formula>
    </cfRule>
  </conditionalFormatting>
  <conditionalFormatting sqref="H11">
    <cfRule type="expression" dxfId="12567" priority="244">
      <formula>$C11&lt;$E$3</formula>
    </cfRule>
  </conditionalFormatting>
  <conditionalFormatting sqref="H11">
    <cfRule type="expression" dxfId="12566" priority="241">
      <formula>$C11=$E$3</formula>
    </cfRule>
    <cfRule type="expression" dxfId="12565" priority="242">
      <formula>$C11&lt;$E$3</formula>
    </cfRule>
    <cfRule type="cellIs" dxfId="12564" priority="243" operator="equal">
      <formula>0</formula>
    </cfRule>
    <cfRule type="expression" dxfId="12563" priority="245">
      <formula>$C11&gt;$E$3</formula>
    </cfRule>
  </conditionalFormatting>
  <conditionalFormatting sqref="H11">
    <cfRule type="expression" dxfId="12562" priority="240">
      <formula>$C11&lt;$E$3</formula>
    </cfRule>
  </conditionalFormatting>
  <conditionalFormatting sqref="H11">
    <cfRule type="expression" dxfId="12561" priority="236">
      <formula>$C11=$E$3</formula>
    </cfRule>
    <cfRule type="expression" dxfId="12560" priority="237">
      <formula>$C11&lt;$E$3</formula>
    </cfRule>
    <cfRule type="cellIs" dxfId="12559" priority="238" operator="equal">
      <formula>0</formula>
    </cfRule>
    <cfRule type="expression" dxfId="12558" priority="239">
      <formula>$C11&gt;$E$3</formula>
    </cfRule>
  </conditionalFormatting>
  <conditionalFormatting sqref="H11">
    <cfRule type="expression" dxfId="12557" priority="235">
      <formula>$C11&lt;$E$3</formula>
    </cfRule>
  </conditionalFormatting>
  <conditionalFormatting sqref="H11">
    <cfRule type="expression" dxfId="12556" priority="231">
      <formula>$C11=$E$3</formula>
    </cfRule>
    <cfRule type="expression" dxfId="12555" priority="232">
      <formula>$C11&lt;$E$3</formula>
    </cfRule>
    <cfRule type="cellIs" dxfId="12554" priority="233" operator="equal">
      <formula>0</formula>
    </cfRule>
    <cfRule type="expression" dxfId="12553" priority="234">
      <formula>$C11&gt;$E$3</formula>
    </cfRule>
  </conditionalFormatting>
  <conditionalFormatting sqref="H11">
    <cfRule type="expression" dxfId="12552" priority="230">
      <formula>$C11&lt;$E$3</formula>
    </cfRule>
  </conditionalFormatting>
  <conditionalFormatting sqref="H11">
    <cfRule type="expression" dxfId="12551" priority="226">
      <formula>$C11=$E$3</formula>
    </cfRule>
    <cfRule type="expression" dxfId="12550" priority="227">
      <formula>$C11&lt;$E$3</formula>
    </cfRule>
    <cfRule type="cellIs" dxfId="12549" priority="228" operator="equal">
      <formula>0</formula>
    </cfRule>
    <cfRule type="expression" dxfId="12548" priority="229">
      <formula>$C11&gt;$E$3</formula>
    </cfRule>
  </conditionalFormatting>
  <conditionalFormatting sqref="H11">
    <cfRule type="expression" dxfId="12547" priority="225">
      <formula>$E11=""</formula>
    </cfRule>
  </conditionalFormatting>
  <conditionalFormatting sqref="H11">
    <cfRule type="expression" dxfId="12546" priority="224">
      <formula>$C11&lt;$E$3</formula>
    </cfRule>
  </conditionalFormatting>
  <conditionalFormatting sqref="H11">
    <cfRule type="expression" dxfId="12545" priority="223">
      <formula>$E11=""</formula>
    </cfRule>
  </conditionalFormatting>
  <conditionalFormatting sqref="H11">
    <cfRule type="expression" dxfId="12544" priority="222">
      <formula>$E11=""</formula>
    </cfRule>
  </conditionalFormatting>
  <conditionalFormatting sqref="H11">
    <cfRule type="expression" dxfId="12543" priority="221">
      <formula>$C11&lt;$E$3</formula>
    </cfRule>
  </conditionalFormatting>
  <conditionalFormatting sqref="H11">
    <cfRule type="expression" dxfId="12542" priority="220">
      <formula>$E11=""</formula>
    </cfRule>
  </conditionalFormatting>
  <conditionalFormatting sqref="H11">
    <cfRule type="expression" dxfId="12541" priority="219">
      <formula>$C11&lt;$E$3</formula>
    </cfRule>
  </conditionalFormatting>
  <conditionalFormatting sqref="H11">
    <cfRule type="expression" dxfId="12540" priority="218">
      <formula>$E11=""</formula>
    </cfRule>
  </conditionalFormatting>
  <conditionalFormatting sqref="H11">
    <cfRule type="expression" dxfId="12539" priority="217">
      <formula>$C11&lt;$E$3</formula>
    </cfRule>
  </conditionalFormatting>
  <conditionalFormatting sqref="H11">
    <cfRule type="expression" dxfId="12538" priority="216">
      <formula>$E11=""</formula>
    </cfRule>
  </conditionalFormatting>
  <conditionalFormatting sqref="H14:H20">
    <cfRule type="expression" dxfId="12537" priority="214">
      <formula>$C14&lt;$E$3</formula>
    </cfRule>
  </conditionalFormatting>
  <conditionalFormatting sqref="H14:H20">
    <cfRule type="expression" dxfId="12536" priority="211">
      <formula>$C14=$E$3</formula>
    </cfRule>
    <cfRule type="expression" dxfId="12535" priority="212">
      <formula>$C14&lt;$E$3</formula>
    </cfRule>
    <cfRule type="cellIs" dxfId="12534" priority="213" operator="equal">
      <formula>0</formula>
    </cfRule>
    <cfRule type="expression" dxfId="12533" priority="215">
      <formula>$C14&gt;$E$3</formula>
    </cfRule>
  </conditionalFormatting>
  <conditionalFormatting sqref="H14:H20">
    <cfRule type="expression" dxfId="12532" priority="210">
      <formula>$C14&lt;$E$3</formula>
    </cfRule>
  </conditionalFormatting>
  <conditionalFormatting sqref="H14:H20">
    <cfRule type="expression" dxfId="12531" priority="206">
      <formula>$C14=$E$3</formula>
    </cfRule>
    <cfRule type="expression" dxfId="12530" priority="207">
      <formula>$C14&lt;$E$3</formula>
    </cfRule>
    <cfRule type="cellIs" dxfId="12529" priority="208" operator="equal">
      <formula>0</formula>
    </cfRule>
    <cfRule type="expression" dxfId="12528" priority="209">
      <formula>$C14&gt;$E$3</formula>
    </cfRule>
  </conditionalFormatting>
  <conditionalFormatting sqref="H14:H20">
    <cfRule type="expression" dxfId="12527" priority="205">
      <formula>$C14&lt;$E$3</formula>
    </cfRule>
  </conditionalFormatting>
  <conditionalFormatting sqref="H14:H20">
    <cfRule type="expression" dxfId="12526" priority="201">
      <formula>$C14=$E$3</formula>
    </cfRule>
    <cfRule type="expression" dxfId="12525" priority="202">
      <formula>$C14&lt;$E$3</formula>
    </cfRule>
    <cfRule type="cellIs" dxfId="12524" priority="203" operator="equal">
      <formula>0</formula>
    </cfRule>
    <cfRule type="expression" dxfId="12523" priority="204">
      <formula>$C14&gt;$E$3</formula>
    </cfRule>
  </conditionalFormatting>
  <conditionalFormatting sqref="H14:H20">
    <cfRule type="expression" dxfId="12522" priority="200">
      <formula>$C14&lt;$E$3</formula>
    </cfRule>
  </conditionalFormatting>
  <conditionalFormatting sqref="H14:H20">
    <cfRule type="expression" dxfId="12521" priority="196">
      <formula>$C14=$E$3</formula>
    </cfRule>
    <cfRule type="expression" dxfId="12520" priority="197">
      <formula>$C14&lt;$E$3</formula>
    </cfRule>
    <cfRule type="cellIs" dxfId="12519" priority="198" operator="equal">
      <formula>0</formula>
    </cfRule>
    <cfRule type="expression" dxfId="12518" priority="199">
      <formula>$C14&gt;$E$3</formula>
    </cfRule>
  </conditionalFormatting>
  <conditionalFormatting sqref="H14:H20">
    <cfRule type="expression" dxfId="12517" priority="195">
      <formula>$E14=""</formula>
    </cfRule>
  </conditionalFormatting>
  <conditionalFormatting sqref="H14:H20">
    <cfRule type="expression" dxfId="12516" priority="194">
      <formula>$C14&lt;$E$3</formula>
    </cfRule>
  </conditionalFormatting>
  <conditionalFormatting sqref="H14:H20">
    <cfRule type="expression" dxfId="12515" priority="193">
      <formula>$E14=""</formula>
    </cfRule>
  </conditionalFormatting>
  <conditionalFormatting sqref="H14:H20">
    <cfRule type="expression" dxfId="12514" priority="192">
      <formula>$E14=""</formula>
    </cfRule>
  </conditionalFormatting>
  <conditionalFormatting sqref="H14:H20">
    <cfRule type="expression" dxfId="12513" priority="191">
      <formula>$C14&lt;$E$3</formula>
    </cfRule>
  </conditionalFormatting>
  <conditionalFormatting sqref="H14:H20">
    <cfRule type="expression" dxfId="12512" priority="190">
      <formula>$E14=""</formula>
    </cfRule>
  </conditionalFormatting>
  <conditionalFormatting sqref="H14:H20">
    <cfRule type="expression" dxfId="12511" priority="189">
      <formula>$C14&lt;$E$3</formula>
    </cfRule>
  </conditionalFormatting>
  <conditionalFormatting sqref="H14:H20">
    <cfRule type="expression" dxfId="12510" priority="188">
      <formula>$E14=""</formula>
    </cfRule>
  </conditionalFormatting>
  <conditionalFormatting sqref="H14:H20">
    <cfRule type="expression" dxfId="12509" priority="187">
      <formula>$C14&lt;$E$3</formula>
    </cfRule>
  </conditionalFormatting>
  <conditionalFormatting sqref="H14:H20">
    <cfRule type="expression" dxfId="12508" priority="186">
      <formula>$E14=""</formula>
    </cfRule>
  </conditionalFormatting>
  <conditionalFormatting sqref="H23:H29">
    <cfRule type="expression" dxfId="12507" priority="184">
      <formula>$C23&lt;$E$3</formula>
    </cfRule>
  </conditionalFormatting>
  <conditionalFormatting sqref="H23:H29">
    <cfRule type="expression" dxfId="12506" priority="181">
      <formula>$C23=$E$3</formula>
    </cfRule>
    <cfRule type="expression" dxfId="12505" priority="182">
      <formula>$C23&lt;$E$3</formula>
    </cfRule>
    <cfRule type="cellIs" dxfId="12504" priority="183" operator="equal">
      <formula>0</formula>
    </cfRule>
    <cfRule type="expression" dxfId="12503" priority="185">
      <formula>$C23&gt;$E$3</formula>
    </cfRule>
  </conditionalFormatting>
  <conditionalFormatting sqref="H23:H29">
    <cfRule type="expression" dxfId="12502" priority="180">
      <formula>$C23&lt;$E$3</formula>
    </cfRule>
  </conditionalFormatting>
  <conditionalFormatting sqref="H23:H29">
    <cfRule type="expression" dxfId="12501" priority="176">
      <formula>$C23=$E$3</formula>
    </cfRule>
    <cfRule type="expression" dxfId="12500" priority="177">
      <formula>$C23&lt;$E$3</formula>
    </cfRule>
    <cfRule type="cellIs" dxfId="12499" priority="178" operator="equal">
      <formula>0</formula>
    </cfRule>
    <cfRule type="expression" dxfId="12498" priority="179">
      <formula>$C23&gt;$E$3</formula>
    </cfRule>
  </conditionalFormatting>
  <conditionalFormatting sqref="H23:H29">
    <cfRule type="expression" dxfId="12497" priority="175">
      <formula>$C23&lt;$E$3</formula>
    </cfRule>
  </conditionalFormatting>
  <conditionalFormatting sqref="H23:H29">
    <cfRule type="expression" dxfId="12496" priority="171">
      <formula>$C23=$E$3</formula>
    </cfRule>
    <cfRule type="expression" dxfId="12495" priority="172">
      <formula>$C23&lt;$E$3</formula>
    </cfRule>
    <cfRule type="cellIs" dxfId="12494" priority="173" operator="equal">
      <formula>0</formula>
    </cfRule>
    <cfRule type="expression" dxfId="12493" priority="174">
      <formula>$C23&gt;$E$3</formula>
    </cfRule>
  </conditionalFormatting>
  <conditionalFormatting sqref="H23:H29">
    <cfRule type="expression" dxfId="12492" priority="170">
      <formula>$C23&lt;$E$3</formula>
    </cfRule>
  </conditionalFormatting>
  <conditionalFormatting sqref="H23:H29">
    <cfRule type="expression" dxfId="12491" priority="166">
      <formula>$C23=$E$3</formula>
    </cfRule>
    <cfRule type="expression" dxfId="12490" priority="167">
      <formula>$C23&lt;$E$3</formula>
    </cfRule>
    <cfRule type="cellIs" dxfId="12489" priority="168" operator="equal">
      <formula>0</formula>
    </cfRule>
    <cfRule type="expression" dxfId="12488" priority="169">
      <formula>$C23&gt;$E$3</formula>
    </cfRule>
  </conditionalFormatting>
  <conditionalFormatting sqref="H23:H29">
    <cfRule type="expression" dxfId="12487" priority="165">
      <formula>$E23=""</formula>
    </cfRule>
  </conditionalFormatting>
  <conditionalFormatting sqref="H23:H29">
    <cfRule type="expression" dxfId="12486" priority="164">
      <formula>$C23&lt;$E$3</formula>
    </cfRule>
  </conditionalFormatting>
  <conditionalFormatting sqref="H23:H29">
    <cfRule type="expression" dxfId="12485" priority="163">
      <formula>$E23=""</formula>
    </cfRule>
  </conditionalFormatting>
  <conditionalFormatting sqref="H23:H29">
    <cfRule type="expression" dxfId="12484" priority="162">
      <formula>$E23=""</formula>
    </cfRule>
  </conditionalFormatting>
  <conditionalFormatting sqref="H23:H29">
    <cfRule type="expression" dxfId="12483" priority="161">
      <formula>$C23&lt;$E$3</formula>
    </cfRule>
  </conditionalFormatting>
  <conditionalFormatting sqref="H23:H29">
    <cfRule type="expression" dxfId="12482" priority="160">
      <formula>$E23=""</formula>
    </cfRule>
  </conditionalFormatting>
  <conditionalFormatting sqref="H23:H29">
    <cfRule type="expression" dxfId="12481" priority="159">
      <formula>$C23&lt;$E$3</formula>
    </cfRule>
  </conditionalFormatting>
  <conditionalFormatting sqref="H23:H29">
    <cfRule type="expression" dxfId="12480" priority="158">
      <formula>$E23=""</formula>
    </cfRule>
  </conditionalFormatting>
  <conditionalFormatting sqref="H23:H29">
    <cfRule type="expression" dxfId="12479" priority="157">
      <formula>$C23&lt;$E$3</formula>
    </cfRule>
  </conditionalFormatting>
  <conditionalFormatting sqref="H23:H29">
    <cfRule type="expression" dxfId="12478" priority="156">
      <formula>$E23=""</formula>
    </cfRule>
  </conditionalFormatting>
  <conditionalFormatting sqref="H32">
    <cfRule type="expression" dxfId="12477" priority="154">
      <formula>$C32&lt;$E$3</formula>
    </cfRule>
  </conditionalFormatting>
  <conditionalFormatting sqref="H32">
    <cfRule type="expression" dxfId="12476" priority="151">
      <formula>$C32=$E$3</formula>
    </cfRule>
    <cfRule type="expression" dxfId="12475" priority="152">
      <formula>$C32&lt;$E$3</formula>
    </cfRule>
    <cfRule type="cellIs" dxfId="12474" priority="153" operator="equal">
      <formula>0</formula>
    </cfRule>
    <cfRule type="expression" dxfId="12473" priority="155">
      <formula>$C32&gt;$E$3</formula>
    </cfRule>
  </conditionalFormatting>
  <conditionalFormatting sqref="H32">
    <cfRule type="expression" dxfId="12472" priority="150">
      <formula>$C32&lt;$E$3</formula>
    </cfRule>
  </conditionalFormatting>
  <conditionalFormatting sqref="H32">
    <cfRule type="expression" dxfId="12471" priority="146">
      <formula>$C32=$E$3</formula>
    </cfRule>
    <cfRule type="expression" dxfId="12470" priority="147">
      <formula>$C32&lt;$E$3</formula>
    </cfRule>
    <cfRule type="cellIs" dxfId="12469" priority="148" operator="equal">
      <formula>0</formula>
    </cfRule>
    <cfRule type="expression" dxfId="12468" priority="149">
      <formula>$C32&gt;$E$3</formula>
    </cfRule>
  </conditionalFormatting>
  <conditionalFormatting sqref="H32">
    <cfRule type="expression" dxfId="12467" priority="145">
      <formula>$C32&lt;$E$3</formula>
    </cfRule>
  </conditionalFormatting>
  <conditionalFormatting sqref="H32">
    <cfRule type="expression" dxfId="12466" priority="141">
      <formula>$C32=$E$3</formula>
    </cfRule>
    <cfRule type="expression" dxfId="12465" priority="142">
      <formula>$C32&lt;$E$3</formula>
    </cfRule>
    <cfRule type="cellIs" dxfId="12464" priority="143" operator="equal">
      <formula>0</formula>
    </cfRule>
    <cfRule type="expression" dxfId="12463" priority="144">
      <formula>$C32&gt;$E$3</formula>
    </cfRule>
  </conditionalFormatting>
  <conditionalFormatting sqref="H32">
    <cfRule type="expression" dxfId="12462" priority="140">
      <formula>$C32&lt;$E$3</formula>
    </cfRule>
  </conditionalFormatting>
  <conditionalFormatting sqref="H32">
    <cfRule type="expression" dxfId="12461" priority="136">
      <formula>$C32=$E$3</formula>
    </cfRule>
    <cfRule type="expression" dxfId="12460" priority="137">
      <formula>$C32&lt;$E$3</formula>
    </cfRule>
    <cfRule type="cellIs" dxfId="12459" priority="138" operator="equal">
      <formula>0</formula>
    </cfRule>
    <cfRule type="expression" dxfId="12458" priority="139">
      <formula>$C32&gt;$E$3</formula>
    </cfRule>
  </conditionalFormatting>
  <conditionalFormatting sqref="H32">
    <cfRule type="expression" dxfId="12457" priority="135">
      <formula>$E32=""</formula>
    </cfRule>
  </conditionalFormatting>
  <conditionalFormatting sqref="H32">
    <cfRule type="expression" dxfId="12456" priority="134">
      <formula>$C32&lt;$E$3</formula>
    </cfRule>
  </conditionalFormatting>
  <conditionalFormatting sqref="H32">
    <cfRule type="expression" dxfId="12455" priority="133">
      <formula>$E32=""</formula>
    </cfRule>
  </conditionalFormatting>
  <conditionalFormatting sqref="H32">
    <cfRule type="expression" dxfId="12454" priority="132">
      <formula>$E32=""</formula>
    </cfRule>
  </conditionalFormatting>
  <conditionalFormatting sqref="H32">
    <cfRule type="expression" dxfId="12453" priority="131">
      <formula>$C32&lt;$E$3</formula>
    </cfRule>
  </conditionalFormatting>
  <conditionalFormatting sqref="H32">
    <cfRule type="expression" dxfId="12452" priority="130">
      <formula>$E32=""</formula>
    </cfRule>
  </conditionalFormatting>
  <conditionalFormatting sqref="H32">
    <cfRule type="expression" dxfId="12451" priority="129">
      <formula>$C32&lt;$E$3</formula>
    </cfRule>
  </conditionalFormatting>
  <conditionalFormatting sqref="H32">
    <cfRule type="expression" dxfId="12450" priority="128">
      <formula>$E32=""</formula>
    </cfRule>
  </conditionalFormatting>
  <conditionalFormatting sqref="H32">
    <cfRule type="expression" dxfId="12449" priority="127">
      <formula>$C32&lt;$E$3</formula>
    </cfRule>
  </conditionalFormatting>
  <conditionalFormatting sqref="H32">
    <cfRule type="expression" dxfId="12448" priority="126">
      <formula>$E32=""</formula>
    </cfRule>
  </conditionalFormatting>
  <conditionalFormatting sqref="V50:W51 V5:W20 V23:W29 V32:W38 V41:W47">
    <cfRule type="cellIs" dxfId="12447" priority="125" stopIfTrue="1" operator="lessThan">
      <formula>0</formula>
    </cfRule>
  </conditionalFormatting>
  <conditionalFormatting sqref="F52:H52">
    <cfRule type="expression" dxfId="12446" priority="5541" stopIfTrue="1">
      <formula>$H$52=-1E-55</formula>
    </cfRule>
    <cfRule type="expression" dxfId="12445" priority="5542">
      <formula>$F52&gt;=$F53</formula>
    </cfRule>
  </conditionalFormatting>
  <conditionalFormatting sqref="K48:K49">
    <cfRule type="cellIs" dxfId="12444" priority="124" stopIfTrue="1" operator="lessThan">
      <formula>0</formula>
    </cfRule>
  </conditionalFormatting>
  <conditionalFormatting sqref="K48:K49">
    <cfRule type="expression" dxfId="12443" priority="123">
      <formula>$C68&lt;$E$3</formula>
    </cfRule>
  </conditionalFormatting>
  <conditionalFormatting sqref="K48:K49">
    <cfRule type="expression" dxfId="12442" priority="119">
      <formula>$C68=$E$3</formula>
    </cfRule>
    <cfRule type="expression" dxfId="12441" priority="120">
      <formula>$C68&lt;$E$3</formula>
    </cfRule>
    <cfRule type="cellIs" dxfId="12440" priority="121" operator="equal">
      <formula>0</formula>
    </cfRule>
    <cfRule type="expression" dxfId="12439" priority="122">
      <formula>$C68&gt;$E$3</formula>
    </cfRule>
  </conditionalFormatting>
  <conditionalFormatting sqref="K48:K49">
    <cfRule type="expression" dxfId="12438" priority="118">
      <formula>$C68&lt;$E$3</formula>
    </cfRule>
  </conditionalFormatting>
  <conditionalFormatting sqref="K48:K49">
    <cfRule type="expression" dxfId="12437" priority="114">
      <formula>$C68=$E$3</formula>
    </cfRule>
    <cfRule type="expression" dxfId="12436" priority="115">
      <formula>$C68&lt;$E$3</formula>
    </cfRule>
    <cfRule type="cellIs" dxfId="12435" priority="116" operator="equal">
      <formula>0</formula>
    </cfRule>
    <cfRule type="expression" dxfId="12434" priority="117">
      <formula>$C68&gt;$E$3</formula>
    </cfRule>
  </conditionalFormatting>
  <conditionalFormatting sqref="K48:K49">
    <cfRule type="expression" dxfId="12433" priority="113">
      <formula>$C68&lt;$E$3</formula>
    </cfRule>
  </conditionalFormatting>
  <conditionalFormatting sqref="K48:K49">
    <cfRule type="expression" dxfId="12432" priority="109">
      <formula>$C68=$E$3</formula>
    </cfRule>
    <cfRule type="expression" dxfId="12431" priority="110">
      <formula>$C68&lt;$E$3</formula>
    </cfRule>
    <cfRule type="cellIs" dxfId="12430" priority="111" operator="equal">
      <formula>0</formula>
    </cfRule>
    <cfRule type="expression" dxfId="12429" priority="112">
      <formula>$C68&gt;$E$3</formula>
    </cfRule>
  </conditionalFormatting>
  <conditionalFormatting sqref="K48:K49">
    <cfRule type="expression" dxfId="12428" priority="108">
      <formula>$C68&lt;$E$3</formula>
    </cfRule>
  </conditionalFormatting>
  <conditionalFormatting sqref="K48:K49">
    <cfRule type="expression" dxfId="12427" priority="104">
      <formula>$C68=$E$3</formula>
    </cfRule>
    <cfRule type="expression" dxfId="12426" priority="105">
      <formula>$C68&lt;$E$3</formula>
    </cfRule>
    <cfRule type="cellIs" dxfId="12425" priority="106" operator="equal">
      <formula>0</formula>
    </cfRule>
    <cfRule type="expression" dxfId="12424" priority="107">
      <formula>$C68&gt;$E$3</formula>
    </cfRule>
  </conditionalFormatting>
  <conditionalFormatting sqref="K48:K49">
    <cfRule type="expression" dxfId="12423" priority="103">
      <formula>$E68=""</formula>
    </cfRule>
  </conditionalFormatting>
  <conditionalFormatting sqref="K48:K49">
    <cfRule type="expression" dxfId="12422" priority="102">
      <formula>$C68&lt;$E$3</formula>
    </cfRule>
  </conditionalFormatting>
  <conditionalFormatting sqref="K48:K49">
    <cfRule type="expression" dxfId="12421" priority="101">
      <formula>$E68=""</formula>
    </cfRule>
  </conditionalFormatting>
  <conditionalFormatting sqref="K48:K49">
    <cfRule type="expression" dxfId="12420" priority="100">
      <formula>$E68=""</formula>
    </cfRule>
  </conditionalFormatting>
  <conditionalFormatting sqref="K48:K49">
    <cfRule type="expression" dxfId="12419" priority="99">
      <formula>$C68&lt;$E$3</formula>
    </cfRule>
  </conditionalFormatting>
  <conditionalFormatting sqref="K48:K49">
    <cfRule type="expression" dxfId="12418" priority="98">
      <formula>$E68=""</formula>
    </cfRule>
  </conditionalFormatting>
  <conditionalFormatting sqref="K48:K49">
    <cfRule type="expression" dxfId="12417" priority="97">
      <formula>$C68&lt;$E$3</formula>
    </cfRule>
  </conditionalFormatting>
  <conditionalFormatting sqref="K48:K49">
    <cfRule type="expression" dxfId="12416" priority="96">
      <formula>$E68=""</formula>
    </cfRule>
  </conditionalFormatting>
  <conditionalFormatting sqref="K48:K49">
    <cfRule type="expression" dxfId="12415" priority="95">
      <formula>$C68&lt;$E$3</formula>
    </cfRule>
  </conditionalFormatting>
  <conditionalFormatting sqref="K48:K49">
    <cfRule type="expression" dxfId="12414" priority="94">
      <formula>$E68=""</formula>
    </cfRule>
  </conditionalFormatting>
  <conditionalFormatting sqref="K48:K49">
    <cfRule type="expression" dxfId="12413" priority="93">
      <formula>$C68&lt;$E$3</formula>
    </cfRule>
  </conditionalFormatting>
  <conditionalFormatting sqref="K48:K49">
    <cfRule type="expression" dxfId="12412" priority="89">
      <formula>$C68=$E$3</formula>
    </cfRule>
    <cfRule type="expression" dxfId="12411" priority="90">
      <formula>$C68&lt;$E$3</formula>
    </cfRule>
    <cfRule type="cellIs" dxfId="12410" priority="91" operator="equal">
      <formula>0</formula>
    </cfRule>
    <cfRule type="expression" dxfId="12409" priority="92">
      <formula>$C68&gt;$E$3</formula>
    </cfRule>
  </conditionalFormatting>
  <conditionalFormatting sqref="K48:K49">
    <cfRule type="expression" dxfId="12408" priority="88">
      <formula>$C68&lt;$E$3</formula>
    </cfRule>
  </conditionalFormatting>
  <conditionalFormatting sqref="K48:K49">
    <cfRule type="expression" dxfId="12407" priority="84">
      <formula>$C68=$E$3</formula>
    </cfRule>
    <cfRule type="expression" dxfId="12406" priority="85">
      <formula>$C68&lt;$E$3</formula>
    </cfRule>
    <cfRule type="cellIs" dxfId="12405" priority="86" operator="equal">
      <formula>0</formula>
    </cfRule>
    <cfRule type="expression" dxfId="12404" priority="87">
      <formula>$C68&gt;$E$3</formula>
    </cfRule>
  </conditionalFormatting>
  <conditionalFormatting sqref="K48:K49">
    <cfRule type="expression" dxfId="12403" priority="83">
      <formula>$C68&lt;$E$3</formula>
    </cfRule>
  </conditionalFormatting>
  <conditionalFormatting sqref="K48:K49">
    <cfRule type="expression" dxfId="12402" priority="79">
      <formula>$C68=$E$3</formula>
    </cfRule>
    <cfRule type="expression" dxfId="12401" priority="80">
      <formula>$C68&lt;$E$3</formula>
    </cfRule>
    <cfRule type="cellIs" dxfId="12400" priority="81" operator="equal">
      <formula>0</formula>
    </cfRule>
    <cfRule type="expression" dxfId="12399" priority="82">
      <formula>$C68&gt;$E$3</formula>
    </cfRule>
  </conditionalFormatting>
  <conditionalFormatting sqref="K48:K49">
    <cfRule type="expression" dxfId="12398" priority="78">
      <formula>$C68&lt;$E$3</formula>
    </cfRule>
  </conditionalFormatting>
  <conditionalFormatting sqref="K48:K49">
    <cfRule type="expression" dxfId="12397" priority="74">
      <formula>$C68=$E$3</formula>
    </cfRule>
    <cfRule type="expression" dxfId="12396" priority="75">
      <formula>$C68&lt;$E$3</formula>
    </cfRule>
    <cfRule type="cellIs" dxfId="12395" priority="76" operator="equal">
      <formula>0</formula>
    </cfRule>
    <cfRule type="expression" dxfId="12394" priority="77">
      <formula>$C68&gt;$E$3</formula>
    </cfRule>
  </conditionalFormatting>
  <conditionalFormatting sqref="K48:K49">
    <cfRule type="expression" dxfId="12393" priority="73">
      <formula>$E68=""</formula>
    </cfRule>
  </conditionalFormatting>
  <conditionalFormatting sqref="K48:K49">
    <cfRule type="expression" dxfId="12392" priority="72">
      <formula>$C68&lt;$E$3</formula>
    </cfRule>
  </conditionalFormatting>
  <conditionalFormatting sqref="K48:K49">
    <cfRule type="expression" dxfId="12391" priority="71">
      <formula>$E68=""</formula>
    </cfRule>
  </conditionalFormatting>
  <conditionalFormatting sqref="K48:K49">
    <cfRule type="expression" dxfId="12390" priority="70">
      <formula>$E68=""</formula>
    </cfRule>
  </conditionalFormatting>
  <conditionalFormatting sqref="K48:K49">
    <cfRule type="expression" dxfId="12389" priority="69">
      <formula>$C68&lt;$E$3</formula>
    </cfRule>
  </conditionalFormatting>
  <conditionalFormatting sqref="K48:K49">
    <cfRule type="expression" dxfId="12388" priority="68">
      <formula>$E68=""</formula>
    </cfRule>
  </conditionalFormatting>
  <conditionalFormatting sqref="K48:K49">
    <cfRule type="expression" dxfId="12387" priority="67">
      <formula>$C68&lt;$E$3</formula>
    </cfRule>
  </conditionalFormatting>
  <conditionalFormatting sqref="K48:K49">
    <cfRule type="expression" dxfId="12386" priority="66">
      <formula>$E68=""</formula>
    </cfRule>
  </conditionalFormatting>
  <conditionalFormatting sqref="K48:K49">
    <cfRule type="expression" dxfId="12385" priority="65">
      <formula>$C68&lt;$E$3</formula>
    </cfRule>
  </conditionalFormatting>
  <conditionalFormatting sqref="K48:K49">
    <cfRule type="expression" dxfId="12384" priority="64">
      <formula>$E68=""</formula>
    </cfRule>
  </conditionalFormatting>
  <conditionalFormatting sqref="K5:K11">
    <cfRule type="expression" dxfId="12383" priority="62">
      <formula>$C5&lt;$E$3</formula>
    </cfRule>
  </conditionalFormatting>
  <conditionalFormatting sqref="K5:K11">
    <cfRule type="expression" dxfId="12382" priority="59">
      <formula>$C5=$E$3</formula>
    </cfRule>
    <cfRule type="expression" dxfId="12381" priority="60">
      <formula>$C5&lt;$E$3</formula>
    </cfRule>
    <cfRule type="cellIs" dxfId="12380" priority="61" operator="equal">
      <formula>0</formula>
    </cfRule>
    <cfRule type="expression" dxfId="12379" priority="63">
      <formula>$C5&gt;$E$3</formula>
    </cfRule>
  </conditionalFormatting>
  <conditionalFormatting sqref="K5:K11">
    <cfRule type="expression" dxfId="12378" priority="58">
      <formula>$E5=""</formula>
    </cfRule>
  </conditionalFormatting>
  <conditionalFormatting sqref="K5:K11">
    <cfRule type="expression" dxfId="12377" priority="57">
      <formula>$E5=""</formula>
    </cfRule>
  </conditionalFormatting>
  <conditionalFormatting sqref="K5:K11">
    <cfRule type="expression" dxfId="12376" priority="56">
      <formula>$E5=""</formula>
    </cfRule>
  </conditionalFormatting>
  <conditionalFormatting sqref="K41:K47">
    <cfRule type="cellIs" dxfId="12375" priority="55" stopIfTrue="1" operator="lessThan">
      <formula>0</formula>
    </cfRule>
  </conditionalFormatting>
  <conditionalFormatting sqref="K41:K47">
    <cfRule type="cellIs" dxfId="12374" priority="54" stopIfTrue="1" operator="lessThan">
      <formula>0</formula>
    </cfRule>
  </conditionalFormatting>
  <conditionalFormatting sqref="K41:K47">
    <cfRule type="cellIs" dxfId="12373" priority="53" stopIfTrue="1" operator="lessThan">
      <formula>0</formula>
    </cfRule>
  </conditionalFormatting>
  <conditionalFormatting sqref="K50:K51">
    <cfRule type="expression" dxfId="12372" priority="51">
      <formula>$C50&lt;$E$3</formula>
    </cfRule>
  </conditionalFormatting>
  <conditionalFormatting sqref="K50:K51">
    <cfRule type="expression" dxfId="12371" priority="48">
      <formula>$C50=$E$3</formula>
    </cfRule>
    <cfRule type="expression" dxfId="12370" priority="49">
      <formula>$C50&lt;$E$3</formula>
    </cfRule>
    <cfRule type="cellIs" dxfId="12369" priority="50" operator="equal">
      <formula>0</formula>
    </cfRule>
    <cfRule type="expression" dxfId="12368" priority="52">
      <formula>$C50&gt;$E$3</formula>
    </cfRule>
  </conditionalFormatting>
  <conditionalFormatting sqref="K50:K51">
    <cfRule type="expression" dxfId="12367" priority="47">
      <formula>$E50=""</formula>
    </cfRule>
  </conditionalFormatting>
  <conditionalFormatting sqref="K50:K51">
    <cfRule type="expression" dxfId="12366" priority="46">
      <formula>$E50=""</formula>
    </cfRule>
  </conditionalFormatting>
  <conditionalFormatting sqref="K50:K51">
    <cfRule type="expression" dxfId="12365" priority="45">
      <formula>$E50=""</formula>
    </cfRule>
  </conditionalFormatting>
  <conditionalFormatting sqref="H33:H37">
    <cfRule type="cellIs" dxfId="12364" priority="39" stopIfTrue="1" operator="lessThan">
      <formula>0</formula>
    </cfRule>
  </conditionalFormatting>
  <conditionalFormatting sqref="H33:H37">
    <cfRule type="expression" dxfId="12363" priority="43">
      <formula>$C33&lt;$E$3</formula>
    </cfRule>
  </conditionalFormatting>
  <conditionalFormatting sqref="H33:H37">
    <cfRule type="expression" dxfId="12362" priority="40">
      <formula>$C33=$E$3</formula>
    </cfRule>
    <cfRule type="expression" dxfId="12361" priority="41">
      <formula>$C33&lt;$E$3</formula>
    </cfRule>
    <cfRule type="cellIs" dxfId="12360" priority="42" operator="equal">
      <formula>0</formula>
    </cfRule>
    <cfRule type="expression" dxfId="12359" priority="44">
      <formula>$C33&gt;$E$3</formula>
    </cfRule>
  </conditionalFormatting>
  <conditionalFormatting sqref="H33:H37">
    <cfRule type="expression" dxfId="12358" priority="38">
      <formula>$C33&lt;$E$3</formula>
    </cfRule>
  </conditionalFormatting>
  <conditionalFormatting sqref="H33:H37">
    <cfRule type="expression" dxfId="12357" priority="34">
      <formula>$C33=$E$3</formula>
    </cfRule>
    <cfRule type="expression" dxfId="12356" priority="35">
      <formula>$C33&lt;$E$3</formula>
    </cfRule>
    <cfRule type="cellIs" dxfId="12355" priority="36" operator="equal">
      <formula>0</formula>
    </cfRule>
    <cfRule type="expression" dxfId="12354" priority="37">
      <formula>$C33&gt;$E$3</formula>
    </cfRule>
  </conditionalFormatting>
  <conditionalFormatting sqref="H33:H37">
    <cfRule type="expression" dxfId="12353" priority="33">
      <formula>$E33=""</formula>
    </cfRule>
  </conditionalFormatting>
  <conditionalFormatting sqref="H36">
    <cfRule type="expression" dxfId="12352" priority="32">
      <formula>$E36=""</formula>
    </cfRule>
  </conditionalFormatting>
  <conditionalFormatting sqref="H33:H37">
    <cfRule type="expression" dxfId="12351" priority="31">
      <formula>$C33&lt;$E$3</formula>
    </cfRule>
  </conditionalFormatting>
  <conditionalFormatting sqref="H33:H37">
    <cfRule type="expression" dxfId="12350" priority="27">
      <formula>$C33=$E$3</formula>
    </cfRule>
    <cfRule type="expression" dxfId="12349" priority="28">
      <formula>$C33&lt;$E$3</formula>
    </cfRule>
    <cfRule type="cellIs" dxfId="12348" priority="29" operator="equal">
      <formula>0</formula>
    </cfRule>
    <cfRule type="expression" dxfId="12347" priority="30">
      <formula>$C33&gt;$E$3</formula>
    </cfRule>
  </conditionalFormatting>
  <conditionalFormatting sqref="H33:H37">
    <cfRule type="expression" dxfId="12346" priority="26">
      <formula>$C33&lt;$E$3</formula>
    </cfRule>
  </conditionalFormatting>
  <conditionalFormatting sqref="H33:H37">
    <cfRule type="expression" dxfId="12345" priority="22">
      <formula>$C33=$E$3</formula>
    </cfRule>
    <cfRule type="expression" dxfId="12344" priority="23">
      <formula>$C33&lt;$E$3</formula>
    </cfRule>
    <cfRule type="cellIs" dxfId="12343" priority="24" operator="equal">
      <formula>0</formula>
    </cfRule>
    <cfRule type="expression" dxfId="12342" priority="25">
      <formula>$C33&gt;$E$3</formula>
    </cfRule>
  </conditionalFormatting>
  <conditionalFormatting sqref="H33:H37">
    <cfRule type="expression" dxfId="12341" priority="21">
      <formula>$E33=""</formula>
    </cfRule>
  </conditionalFormatting>
  <conditionalFormatting sqref="H33:H37">
    <cfRule type="expression" dxfId="12340" priority="20">
      <formula>$C33&lt;$E$3</formula>
    </cfRule>
  </conditionalFormatting>
  <conditionalFormatting sqref="H33:H37">
    <cfRule type="expression" dxfId="12339" priority="19">
      <formula>$E33=""</formula>
    </cfRule>
  </conditionalFormatting>
  <conditionalFormatting sqref="H33:H37">
    <cfRule type="expression" dxfId="12338" priority="18">
      <formula>$E33=""</formula>
    </cfRule>
  </conditionalFormatting>
  <conditionalFormatting sqref="H33:H37">
    <cfRule type="expression" dxfId="12337" priority="17">
      <formula>$C33&lt;$E$3</formula>
    </cfRule>
  </conditionalFormatting>
  <conditionalFormatting sqref="H33:H37">
    <cfRule type="expression" dxfId="12336" priority="16">
      <formula>$E33=""</formula>
    </cfRule>
  </conditionalFormatting>
  <conditionalFormatting sqref="H33:H37">
    <cfRule type="expression" dxfId="12335" priority="15">
      <formula>$C33&lt;$E$3</formula>
    </cfRule>
  </conditionalFormatting>
  <conditionalFormatting sqref="H33:H37">
    <cfRule type="expression" dxfId="12334" priority="14">
      <formula>$E33=""</formula>
    </cfRule>
  </conditionalFormatting>
  <conditionalFormatting sqref="H33:H37">
    <cfRule type="expression" dxfId="12333" priority="13">
      <formula>$C33&lt;$E$3</formula>
    </cfRule>
  </conditionalFormatting>
  <conditionalFormatting sqref="H33:H37">
    <cfRule type="expression" dxfId="12332" priority="12">
      <formula>$E33=""</formula>
    </cfRule>
  </conditionalFormatting>
  <conditionalFormatting sqref="J39:N40">
    <cfRule type="expression" dxfId="12331" priority="11">
      <formula>$L$40=0</formula>
    </cfRule>
  </conditionalFormatting>
  <conditionalFormatting sqref="K41:K47">
    <cfRule type="cellIs" dxfId="12330" priority="10" stopIfTrue="1" operator="lessThan">
      <formula>0</formula>
    </cfRule>
  </conditionalFormatting>
  <conditionalFormatting sqref="K50:K51">
    <cfRule type="expression" dxfId="12329" priority="8">
      <formula>$C50&lt;$E$3</formula>
    </cfRule>
  </conditionalFormatting>
  <conditionalFormatting sqref="K50:K51">
    <cfRule type="expression" dxfId="12328" priority="5">
      <formula>$C50=$E$3</formula>
    </cfRule>
    <cfRule type="expression" dxfId="12327" priority="6">
      <formula>$C50&lt;$E$3</formula>
    </cfRule>
    <cfRule type="cellIs" dxfId="12326" priority="7" operator="equal">
      <formula>0</formula>
    </cfRule>
    <cfRule type="expression" dxfId="12325" priority="9">
      <formula>$C50&gt;$E$3</formula>
    </cfRule>
  </conditionalFormatting>
  <conditionalFormatting sqref="K50:K51">
    <cfRule type="expression" dxfId="12324" priority="4">
      <formula>$E50=""</formula>
    </cfRule>
  </conditionalFormatting>
  <conditionalFormatting sqref="K50:K51">
    <cfRule type="expression" dxfId="12323" priority="3">
      <formula>$E50=""</formula>
    </cfRule>
  </conditionalFormatting>
  <conditionalFormatting sqref="K50:K51">
    <cfRule type="expression" dxfId="12322" priority="2">
      <formula>$E50=""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BB68"/>
  <sheetViews>
    <sheetView zoomScale="75" zoomScaleNormal="75" zoomScalePageLayoutView="75" workbookViewId="0">
      <pane ySplit="4" topLeftCell="A5" activePane="bottomLeft" state="frozen"/>
      <selection pane="bottomLeft" activeCell="F16" sqref="F16"/>
    </sheetView>
  </sheetViews>
  <sheetFormatPr baseColWidth="10" defaultColWidth="8.83203125" defaultRowHeight="15" x14ac:dyDescent="0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.1640625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.25" customHeight="1" thickBot="1">
      <c r="A1" s="52">
        <v>2</v>
      </c>
      <c r="B1" s="50" t="s">
        <v>0</v>
      </c>
      <c r="C1" s="51" t="s">
        <v>0</v>
      </c>
      <c r="D1" s="51"/>
      <c r="E1" s="363" t="str">
        <f>VLOOKUP(A1,'MY STATS'!$B$29:$E$40,4)</f>
        <v>Feb.</v>
      </c>
      <c r="F1" s="141" t="s">
        <v>78</v>
      </c>
      <c r="G1" s="142" t="s">
        <v>77</v>
      </c>
      <c r="H1" s="143" t="s">
        <v>79</v>
      </c>
      <c r="I1" s="144"/>
      <c r="J1" s="144" t="s">
        <v>113</v>
      </c>
      <c r="K1" s="127" t="s">
        <v>109</v>
      </c>
      <c r="L1" s="142" t="s">
        <v>114</v>
      </c>
      <c r="M1" s="127" t="s">
        <v>110</v>
      </c>
      <c r="N1" s="321" t="s">
        <v>59</v>
      </c>
      <c r="O1" s="166" t="s">
        <v>31</v>
      </c>
      <c r="P1" s="251" t="s">
        <v>32</v>
      </c>
      <c r="Q1" s="251" t="s">
        <v>32</v>
      </c>
      <c r="R1" s="343" t="s">
        <v>38</v>
      </c>
      <c r="S1" s="364" t="s">
        <v>149</v>
      </c>
      <c r="T1" s="343"/>
      <c r="U1" s="343"/>
      <c r="V1" s="343" t="s">
        <v>107</v>
      </c>
      <c r="W1" s="343" t="s">
        <v>108</v>
      </c>
      <c r="X1" s="250" t="s">
        <v>30</v>
      </c>
      <c r="Y1" s="250" t="s">
        <v>27</v>
      </c>
      <c r="Z1" s="250" t="s">
        <v>28</v>
      </c>
      <c r="AA1" s="337" t="s">
        <v>29</v>
      </c>
      <c r="AB1" s="239"/>
      <c r="AC1" s="100"/>
      <c r="AD1" s="97"/>
      <c r="AE1" s="97"/>
    </row>
    <row r="2" spans="1:34" ht="32" hidden="1" thickTop="1" thickBot="1">
      <c r="A2" s="95" t="s">
        <v>75</v>
      </c>
      <c r="B2" s="25">
        <f>VLOOKUP(A1,'MY STATS'!$B$29:$G$40,3)</f>
        <v>43132</v>
      </c>
      <c r="D2" s="45"/>
      <c r="E2" s="2" t="s">
        <v>19</v>
      </c>
      <c r="F2" s="95" t="s">
        <v>74</v>
      </c>
      <c r="G2" s="93" t="s">
        <v>61</v>
      </c>
      <c r="H2" s="64" t="s">
        <v>60</v>
      </c>
      <c r="I2" s="64"/>
      <c r="J2" s="64"/>
      <c r="K2" s="64"/>
      <c r="L2" s="64"/>
      <c r="M2" s="64"/>
      <c r="N2" s="322"/>
      <c r="O2" s="167"/>
      <c r="P2" s="239"/>
      <c r="Q2" s="239"/>
      <c r="R2" s="346">
        <f>'MY STATS'!A15</f>
        <v>1</v>
      </c>
      <c r="S2" s="346"/>
      <c r="T2" s="346"/>
      <c r="U2" s="346"/>
      <c r="V2" s="346"/>
      <c r="W2" s="346"/>
      <c r="X2" s="239"/>
      <c r="Y2" s="239"/>
      <c r="Z2" s="171"/>
      <c r="AA2" s="171"/>
      <c r="AB2" s="239"/>
      <c r="AC2" s="100"/>
      <c r="AD2" s="97"/>
      <c r="AE2" s="97"/>
    </row>
    <row r="3" spans="1:34" ht="17" hidden="1" thickTop="1" thickBot="1">
      <c r="A3" s="96">
        <f>'MY STATS'!D41</f>
        <v>43466</v>
      </c>
      <c r="B3" s="25">
        <f>VLOOKUP(A1+1,'MY STATS'!$B$29:$G$41,3)-1</f>
        <v>43159</v>
      </c>
      <c r="C3" s="25">
        <f>VLOOKUP(A1,'MY STATS'!$B$29:$G$40,2)</f>
        <v>43129</v>
      </c>
      <c r="D3" s="46"/>
      <c r="E3" s="4">
        <f ca="1">TODAY()</f>
        <v>43138</v>
      </c>
      <c r="F3" s="65">
        <f>'MY STATS'!B$11</f>
        <v>587410.55929510726</v>
      </c>
      <c r="G3" s="65">
        <f>VLOOKUP(A1-1,'MY STATS'!B$28:J$40,9)</f>
        <v>0</v>
      </c>
      <c r="H3" s="66">
        <f>VLOOKUP($A$1-1,'MY STATS'!$B$28:$I$41,8)</f>
        <v>0</v>
      </c>
      <c r="I3" s="66"/>
      <c r="J3" s="66"/>
      <c r="K3" s="66"/>
      <c r="L3" s="65"/>
      <c r="M3" s="65"/>
      <c r="N3" s="323"/>
      <c r="O3" s="167"/>
      <c r="P3" s="239"/>
      <c r="Q3" s="239"/>
      <c r="R3" s="346"/>
      <c r="S3" s="346"/>
      <c r="T3" s="346"/>
      <c r="U3" s="346"/>
      <c r="V3" s="346"/>
      <c r="W3" s="346"/>
      <c r="X3" s="239"/>
      <c r="Y3" s="239"/>
      <c r="Z3" s="171"/>
      <c r="AA3" s="171"/>
      <c r="AB3" s="239"/>
      <c r="AC3" s="100"/>
      <c r="AD3" s="97"/>
      <c r="AE3" s="97"/>
    </row>
    <row r="4" spans="1:34" ht="1" customHeight="1" thickTop="1" thickBot="1">
      <c r="A4" s="3"/>
      <c r="C4" s="37">
        <f>C3-1</f>
        <v>43128</v>
      </c>
      <c r="D4" s="3"/>
      <c r="O4" s="338"/>
      <c r="P4" s="339">
        <f t="shared" ref="P4:P11" si="0">H$56</f>
        <v>49243.256997546196</v>
      </c>
      <c r="Q4" s="169">
        <f>IF(R$2=3,P4,IF(R$2=2,P4*1.0936,IF(R$2=1,P4*0.000568181818*1.0936133,"")))</f>
        <v>30.598341346932727</v>
      </c>
      <c r="R4" s="246">
        <v>0</v>
      </c>
      <c r="S4" s="246"/>
      <c r="T4" s="246"/>
      <c r="U4" s="246"/>
      <c r="V4" s="246"/>
      <c r="W4" s="246"/>
      <c r="X4" s="339"/>
      <c r="Y4" s="339"/>
      <c r="Z4" s="168">
        <v>0</v>
      </c>
      <c r="AA4" s="171"/>
      <c r="AB4" s="239">
        <v>0</v>
      </c>
      <c r="AC4" s="100"/>
      <c r="AD4" s="97"/>
      <c r="AE4" s="97"/>
    </row>
    <row r="5" spans="1:34">
      <c r="A5" s="26" t="s">
        <v>8</v>
      </c>
      <c r="B5" s="23">
        <f>IF(B$2&gt;C5,0,C5)</f>
        <v>0</v>
      </c>
      <c r="C5" s="37">
        <f>C3</f>
        <v>43129</v>
      </c>
      <c r="D5" s="24">
        <f t="shared" ref="D5:D51" ca="1" si="1">TODAY()-C5</f>
        <v>9</v>
      </c>
      <c r="E5" s="115" t="str">
        <f>IF(B5=0,"","Monday")</f>
        <v/>
      </c>
      <c r="F5" s="55"/>
      <c r="G5" s="56"/>
      <c r="H5" s="56"/>
      <c r="I5" s="199"/>
      <c r="J5" s="56"/>
      <c r="K5" s="203" t="str">
        <f t="shared" ref="K5" si="2">IF(R5=0,"",IF(L5="","",J5))</f>
        <v/>
      </c>
      <c r="L5" s="56"/>
      <c r="M5" s="56" t="str">
        <f>IF(R5=0,"",IF(J5="","",L5))</f>
        <v/>
      </c>
      <c r="N5" s="324"/>
      <c r="O5" s="168" t="str">
        <f t="shared" ref="O5:O51" si="3">IF(B5=0,"",(F$3-G$3)/(A$3-B$2)+0.1)</f>
        <v/>
      </c>
      <c r="P5" s="339">
        <f t="shared" si="0"/>
        <v>49243.256997546196</v>
      </c>
      <c r="Q5" s="169">
        <f t="shared" ref="Q5:Q51" si="4">IF(R$2=3,P5,IF(R$2=2,P5*1.0936,IF(R$2=1,P5*0.000568181818*1.0936133,"")))</f>
        <v>30.598341346932727</v>
      </c>
      <c r="R5" s="169">
        <f>IF(R$2=3,H5+G5/1.0936133+F5/0.0006213712,IF(R$2=2,H5*1.0936133+G5+F5/0.0005681818,IF(R$2=1,H5*0.0005681818*1.0936133+G5*0.0005681818+F5,"")))</f>
        <v>0</v>
      </c>
      <c r="S5" s="369" t="str">
        <f>IF(R5=0,"",R5*IF(L5&gt;0,1,0))</f>
        <v/>
      </c>
      <c r="T5" s="169"/>
      <c r="U5" s="169"/>
      <c r="V5" s="170" t="str">
        <f t="shared" ref="V5:V11" si="5">IF(L5="","",IF(R5=0,"",IF(B5=0,"",IF($R$2=3,R5/L5*60/1000,IF($R$2=2,R5/L5*60/1760,IF($R$2=1,R5/L5*60,""))))))</f>
        <v/>
      </c>
      <c r="W5" s="170" t="str">
        <f t="shared" ref="W5:W11" si="6">IF(R5=0,"",IF(L5="","",V5*L5))</f>
        <v/>
      </c>
      <c r="X5" s="168">
        <f t="shared" ref="X5:Z11" si="7">F5+X4</f>
        <v>0</v>
      </c>
      <c r="Y5" s="168">
        <f t="shared" si="7"/>
        <v>0</v>
      </c>
      <c r="Z5" s="168">
        <f t="shared" si="7"/>
        <v>0</v>
      </c>
      <c r="AA5" s="340">
        <f t="shared" ref="AA5:AA51" si="8">Z5/1000+Y5/1093.6133+X5/0.621371192</f>
        <v>0</v>
      </c>
      <c r="AB5" s="341">
        <f>R5</f>
        <v>0</v>
      </c>
      <c r="AC5" s="120"/>
      <c r="AD5" s="98"/>
      <c r="AE5" s="98"/>
      <c r="AF5" s="8"/>
    </row>
    <row r="6" spans="1:34">
      <c r="A6" s="27"/>
      <c r="B6" s="5">
        <f t="shared" ref="B6:B11" si="9">IF(B$2&gt;C6,0,C6)</f>
        <v>0</v>
      </c>
      <c r="C6" s="38">
        <f>C3+1</f>
        <v>43130</v>
      </c>
      <c r="D6" s="7">
        <f t="shared" ca="1" si="1"/>
        <v>8</v>
      </c>
      <c r="E6" s="114" t="str">
        <f>IF(B6=0,"","Tuesday")</f>
        <v/>
      </c>
      <c r="F6" s="55"/>
      <c r="G6" s="56"/>
      <c r="H6" s="56"/>
      <c r="I6" s="200"/>
      <c r="J6" s="56"/>
      <c r="K6" s="204" t="str">
        <f>IF(R6=0,"",IF(L6="","",J6))</f>
        <v/>
      </c>
      <c r="L6" s="56"/>
      <c r="M6" s="56" t="str">
        <f t="shared" ref="M6:M11" si="10">IF(R6=0,"",IF(J6="","",L6))</f>
        <v/>
      </c>
      <c r="N6" s="324"/>
      <c r="O6" s="168" t="str">
        <f t="shared" si="3"/>
        <v/>
      </c>
      <c r="P6" s="339">
        <f t="shared" si="0"/>
        <v>49243.256997546196</v>
      </c>
      <c r="Q6" s="169">
        <f t="shared" si="4"/>
        <v>30.598341346932727</v>
      </c>
      <c r="R6" s="365">
        <f t="shared" ref="R6:R11" si="11">IF(R$2=3,H6+G6/1.0936133+F6/0.0006213712,IF(R$2=2,H6*1.0936133+G6+F6/0.0005681818,IF(R$2=1,H6*0.0005681818*1.0936133+G6*0.0005681818+F6,"")))</f>
        <v>0</v>
      </c>
      <c r="S6" s="369" t="str">
        <f t="shared" ref="S6:S51" si="12">IF(R6=0,"",R6*IF(L6&gt;0,1,0))</f>
        <v/>
      </c>
      <c r="T6" s="169"/>
      <c r="U6" s="169"/>
      <c r="V6" s="170" t="str">
        <f t="shared" si="5"/>
        <v/>
      </c>
      <c r="W6" s="170" t="str">
        <f t="shared" si="6"/>
        <v/>
      </c>
      <c r="X6" s="168">
        <f t="shared" si="7"/>
        <v>0</v>
      </c>
      <c r="Y6" s="168">
        <f t="shared" si="7"/>
        <v>0</v>
      </c>
      <c r="Z6" s="168">
        <f t="shared" si="7"/>
        <v>0</v>
      </c>
      <c r="AA6" s="340">
        <f t="shared" si="8"/>
        <v>0</v>
      </c>
      <c r="AB6" s="342">
        <f t="shared" ref="AB6:AB51" si="13">AB5+R6</f>
        <v>0</v>
      </c>
      <c r="AC6" s="100"/>
      <c r="AD6" s="97"/>
      <c r="AE6" s="97"/>
      <c r="AH6" s="10"/>
    </row>
    <row r="7" spans="1:34">
      <c r="A7" s="27"/>
      <c r="B7" s="5">
        <f t="shared" si="9"/>
        <v>0</v>
      </c>
      <c r="C7" s="38">
        <f>C3+2</f>
        <v>43131</v>
      </c>
      <c r="D7" s="7">
        <f t="shared" ca="1" si="1"/>
        <v>7</v>
      </c>
      <c r="E7" s="114" t="str">
        <f>IF(B7=0,"","Wednesday")</f>
        <v/>
      </c>
      <c r="F7" s="55"/>
      <c r="G7" s="56"/>
      <c r="H7" s="56"/>
      <c r="I7" s="200"/>
      <c r="J7" s="56"/>
      <c r="K7" s="204" t="str">
        <f t="shared" ref="K7:K11" si="14">IF(R7=0,"",IF(L7="","",J7))</f>
        <v/>
      </c>
      <c r="L7" s="56"/>
      <c r="M7" s="56" t="str">
        <f t="shared" si="10"/>
        <v/>
      </c>
      <c r="N7" s="325"/>
      <c r="O7" s="168" t="str">
        <f t="shared" si="3"/>
        <v/>
      </c>
      <c r="P7" s="339">
        <f t="shared" si="0"/>
        <v>49243.256997546196</v>
      </c>
      <c r="Q7" s="169">
        <f t="shared" si="4"/>
        <v>30.598341346932727</v>
      </c>
      <c r="R7" s="365">
        <f t="shared" si="11"/>
        <v>0</v>
      </c>
      <c r="S7" s="369" t="str">
        <f t="shared" si="12"/>
        <v/>
      </c>
      <c r="T7" s="169"/>
      <c r="U7" s="169"/>
      <c r="V7" s="170" t="str">
        <f t="shared" si="5"/>
        <v/>
      </c>
      <c r="W7" s="170" t="str">
        <f t="shared" si="6"/>
        <v/>
      </c>
      <c r="X7" s="168">
        <f t="shared" si="7"/>
        <v>0</v>
      </c>
      <c r="Y7" s="168">
        <f t="shared" si="7"/>
        <v>0</v>
      </c>
      <c r="Z7" s="168">
        <f t="shared" si="7"/>
        <v>0</v>
      </c>
      <c r="AA7" s="340">
        <f t="shared" si="8"/>
        <v>0</v>
      </c>
      <c r="AB7" s="342">
        <f t="shared" si="13"/>
        <v>0</v>
      </c>
      <c r="AC7" s="100"/>
      <c r="AD7" s="97"/>
      <c r="AE7" s="97"/>
    </row>
    <row r="8" spans="1:34">
      <c r="A8" s="27"/>
      <c r="B8" s="5">
        <f t="shared" si="9"/>
        <v>43132</v>
      </c>
      <c r="C8" s="38">
        <f>C3+3</f>
        <v>43132</v>
      </c>
      <c r="D8" s="7">
        <f t="shared" ca="1" si="1"/>
        <v>6</v>
      </c>
      <c r="E8" s="114" t="str">
        <f>IF(B8=0,"","Thursday")</f>
        <v>Thursday</v>
      </c>
      <c r="F8" s="55"/>
      <c r="G8" s="56"/>
      <c r="H8" s="56"/>
      <c r="I8" s="200"/>
      <c r="J8" s="56"/>
      <c r="K8" s="204" t="str">
        <f t="shared" si="14"/>
        <v/>
      </c>
      <c r="L8" s="56"/>
      <c r="M8" s="56" t="str">
        <f t="shared" si="10"/>
        <v/>
      </c>
      <c r="N8" s="324"/>
      <c r="O8" s="168">
        <f t="shared" si="3"/>
        <v>1758.8142493865487</v>
      </c>
      <c r="P8" s="339">
        <f t="shared" si="0"/>
        <v>49243.256997546196</v>
      </c>
      <c r="Q8" s="169">
        <f t="shared" si="4"/>
        <v>30.598341346932727</v>
      </c>
      <c r="R8" s="365">
        <f t="shared" si="11"/>
        <v>0</v>
      </c>
      <c r="S8" s="369" t="str">
        <f t="shared" si="12"/>
        <v/>
      </c>
      <c r="T8" s="169"/>
      <c r="U8" s="169"/>
      <c r="V8" s="170" t="str">
        <f t="shared" si="5"/>
        <v/>
      </c>
      <c r="W8" s="170" t="str">
        <f t="shared" si="6"/>
        <v/>
      </c>
      <c r="X8" s="168">
        <f t="shared" si="7"/>
        <v>0</v>
      </c>
      <c r="Y8" s="168">
        <f t="shared" si="7"/>
        <v>0</v>
      </c>
      <c r="Z8" s="168">
        <f t="shared" si="7"/>
        <v>0</v>
      </c>
      <c r="AA8" s="340">
        <f t="shared" si="8"/>
        <v>0</v>
      </c>
      <c r="AB8" s="342">
        <f t="shared" si="13"/>
        <v>0</v>
      </c>
      <c r="AC8" s="100"/>
      <c r="AD8" s="97"/>
      <c r="AE8" s="97"/>
    </row>
    <row r="9" spans="1:34">
      <c r="A9" s="27"/>
      <c r="B9" s="5">
        <f t="shared" si="9"/>
        <v>43133</v>
      </c>
      <c r="C9" s="38">
        <f>C3+4</f>
        <v>43133</v>
      </c>
      <c r="D9" s="7">
        <f t="shared" ca="1" si="1"/>
        <v>5</v>
      </c>
      <c r="E9" s="114" t="str">
        <f>IF(B9=0,"","Friday")</f>
        <v>Friday</v>
      </c>
      <c r="F9" s="55"/>
      <c r="G9" s="56"/>
      <c r="H9" s="56"/>
      <c r="I9" s="200"/>
      <c r="J9" s="56"/>
      <c r="K9" s="204" t="str">
        <f t="shared" si="14"/>
        <v/>
      </c>
      <c r="L9" s="56"/>
      <c r="M9" s="56" t="str">
        <f t="shared" si="10"/>
        <v/>
      </c>
      <c r="N9" s="324"/>
      <c r="O9" s="168">
        <f t="shared" si="3"/>
        <v>1758.8142493865487</v>
      </c>
      <c r="P9" s="339">
        <f t="shared" si="0"/>
        <v>49243.256997546196</v>
      </c>
      <c r="Q9" s="169">
        <f t="shared" si="4"/>
        <v>30.598341346932727</v>
      </c>
      <c r="R9" s="365">
        <f t="shared" si="11"/>
        <v>0</v>
      </c>
      <c r="S9" s="369" t="str">
        <f t="shared" si="12"/>
        <v/>
      </c>
      <c r="T9" s="169"/>
      <c r="U9" s="169"/>
      <c r="V9" s="170" t="str">
        <f t="shared" si="5"/>
        <v/>
      </c>
      <c r="W9" s="170" t="str">
        <f t="shared" si="6"/>
        <v/>
      </c>
      <c r="X9" s="168">
        <f t="shared" si="7"/>
        <v>0</v>
      </c>
      <c r="Y9" s="168">
        <f t="shared" si="7"/>
        <v>0</v>
      </c>
      <c r="Z9" s="168">
        <f t="shared" si="7"/>
        <v>0</v>
      </c>
      <c r="AA9" s="340">
        <f t="shared" si="8"/>
        <v>0</v>
      </c>
      <c r="AB9" s="342">
        <f t="shared" si="13"/>
        <v>0</v>
      </c>
      <c r="AC9" s="100"/>
      <c r="AD9" s="97"/>
      <c r="AE9" s="97"/>
    </row>
    <row r="10" spans="1:34">
      <c r="A10" s="27"/>
      <c r="B10" s="5">
        <f t="shared" si="9"/>
        <v>43134</v>
      </c>
      <c r="C10" s="38">
        <f>C3+5</f>
        <v>43134</v>
      </c>
      <c r="D10" s="7">
        <f t="shared" ca="1" si="1"/>
        <v>4</v>
      </c>
      <c r="E10" s="114" t="str">
        <f>IF(B10=0,"","Saturday")</f>
        <v>Saturday</v>
      </c>
      <c r="F10" s="55"/>
      <c r="G10" s="56"/>
      <c r="H10" s="56"/>
      <c r="I10" s="200"/>
      <c r="J10" s="56"/>
      <c r="K10" s="204" t="str">
        <f t="shared" si="14"/>
        <v/>
      </c>
      <c r="L10" s="56"/>
      <c r="M10" s="56" t="str">
        <f t="shared" si="10"/>
        <v/>
      </c>
      <c r="N10" s="324"/>
      <c r="O10" s="168">
        <f t="shared" si="3"/>
        <v>1758.8142493865487</v>
      </c>
      <c r="P10" s="339">
        <f t="shared" si="0"/>
        <v>49243.256997546196</v>
      </c>
      <c r="Q10" s="169">
        <f t="shared" si="4"/>
        <v>30.598341346932727</v>
      </c>
      <c r="R10" s="365">
        <f t="shared" si="11"/>
        <v>0</v>
      </c>
      <c r="S10" s="369" t="str">
        <f t="shared" si="12"/>
        <v/>
      </c>
      <c r="T10" s="169"/>
      <c r="U10" s="169"/>
      <c r="V10" s="170" t="str">
        <f t="shared" si="5"/>
        <v/>
      </c>
      <c r="W10" s="170" t="str">
        <f t="shared" si="6"/>
        <v/>
      </c>
      <c r="X10" s="168">
        <f t="shared" si="7"/>
        <v>0</v>
      </c>
      <c r="Y10" s="168">
        <f t="shared" si="7"/>
        <v>0</v>
      </c>
      <c r="Z10" s="168">
        <f t="shared" si="7"/>
        <v>0</v>
      </c>
      <c r="AA10" s="340">
        <f t="shared" si="8"/>
        <v>0</v>
      </c>
      <c r="AB10" s="342">
        <f t="shared" si="13"/>
        <v>0</v>
      </c>
      <c r="AC10" s="100"/>
      <c r="AD10" s="97"/>
      <c r="AE10" s="97"/>
    </row>
    <row r="11" spans="1:34" ht="16" thickBot="1">
      <c r="A11" s="27"/>
      <c r="B11" s="53">
        <f t="shared" si="9"/>
        <v>43135</v>
      </c>
      <c r="C11" s="41">
        <f>C3+6</f>
        <v>43135</v>
      </c>
      <c r="D11" s="54">
        <f t="shared" ca="1" si="1"/>
        <v>3</v>
      </c>
      <c r="E11" s="117" t="str">
        <f>IF(B11=0,"","Sunday")</f>
        <v>Sunday</v>
      </c>
      <c r="F11" s="55"/>
      <c r="G11" s="56"/>
      <c r="H11" s="56"/>
      <c r="I11" s="200"/>
      <c r="J11" s="56"/>
      <c r="K11" s="205" t="str">
        <f t="shared" si="14"/>
        <v/>
      </c>
      <c r="L11" s="56"/>
      <c r="M11" s="56" t="str">
        <f t="shared" si="10"/>
        <v/>
      </c>
      <c r="N11" s="326"/>
      <c r="O11" s="168">
        <f t="shared" si="3"/>
        <v>1758.8142493865487</v>
      </c>
      <c r="P11" s="339">
        <f t="shared" si="0"/>
        <v>49243.256997546196</v>
      </c>
      <c r="Q11" s="169">
        <f t="shared" si="4"/>
        <v>30.598341346932727</v>
      </c>
      <c r="R11" s="365">
        <f t="shared" si="11"/>
        <v>0</v>
      </c>
      <c r="S11" s="369" t="str">
        <f t="shared" si="12"/>
        <v/>
      </c>
      <c r="T11" s="169"/>
      <c r="U11" s="169"/>
      <c r="V11" s="170" t="str">
        <f t="shared" si="5"/>
        <v/>
      </c>
      <c r="W11" s="170" t="str">
        <f t="shared" si="6"/>
        <v/>
      </c>
      <c r="X11" s="168">
        <f t="shared" si="7"/>
        <v>0</v>
      </c>
      <c r="Y11" s="168">
        <f t="shared" si="7"/>
        <v>0</v>
      </c>
      <c r="Z11" s="168">
        <f t="shared" si="7"/>
        <v>0</v>
      </c>
      <c r="AA11" s="340">
        <f t="shared" si="8"/>
        <v>0</v>
      </c>
      <c r="AB11" s="342">
        <f t="shared" si="13"/>
        <v>0</v>
      </c>
      <c r="AC11" s="100"/>
      <c r="AD11" s="97"/>
      <c r="AE11" s="97"/>
    </row>
    <row r="12" spans="1:34" ht="16" thickTop="1">
      <c r="A12" s="29"/>
      <c r="B12" s="16"/>
      <c r="C12" s="42"/>
      <c r="D12" s="60">
        <f ca="1">TODAY()-C12</f>
        <v>43138</v>
      </c>
      <c r="E12" s="113" t="s">
        <v>76</v>
      </c>
      <c r="F12" s="59">
        <f ca="1">G12*0.000568181818</f>
        <v>0</v>
      </c>
      <c r="G12" s="19">
        <f ca="1">H12*1.0936113</f>
        <v>0</v>
      </c>
      <c r="H12" s="129">
        <f ca="1">IF(TODAY()&gt;=B5,AA11*1000,-2E-55)</f>
        <v>0</v>
      </c>
      <c r="I12" s="135"/>
      <c r="J12" s="443" t="s">
        <v>121</v>
      </c>
      <c r="K12" s="444"/>
      <c r="L12" s="444"/>
      <c r="M12" s="444"/>
      <c r="N12" s="444"/>
      <c r="O12" s="168" t="str">
        <f t="shared" si="3"/>
        <v/>
      </c>
      <c r="P12" s="339"/>
      <c r="Q12" s="169">
        <f t="shared" si="4"/>
        <v>0</v>
      </c>
      <c r="R12" s="366"/>
      <c r="S12" s="369" t="str">
        <f t="shared" si="12"/>
        <v/>
      </c>
      <c r="T12" s="350"/>
      <c r="U12" s="350"/>
      <c r="V12" s="350"/>
      <c r="W12" s="350"/>
      <c r="X12" s="339"/>
      <c r="Y12" s="339"/>
      <c r="Z12" s="171"/>
      <c r="AA12" s="340">
        <f t="shared" si="8"/>
        <v>0</v>
      </c>
      <c r="AB12" s="342">
        <f t="shared" si="13"/>
        <v>0</v>
      </c>
      <c r="AC12" s="100"/>
      <c r="AD12" s="97"/>
      <c r="AE12" s="97"/>
    </row>
    <row r="13" spans="1:34" ht="16" thickBot="1">
      <c r="A13" s="28"/>
      <c r="B13" s="17"/>
      <c r="C13" s="39"/>
      <c r="D13" s="61">
        <f ca="1">TODAY()-C13</f>
        <v>43138</v>
      </c>
      <c r="E13" s="116" t="s">
        <v>33</v>
      </c>
      <c r="F13" s="62">
        <f>G13*0.0005681818</f>
        <v>4.3714979004078538</v>
      </c>
      <c r="G13" s="63">
        <f>H13*1.0936113</f>
        <v>7693.8365509205914</v>
      </c>
      <c r="H13" s="130">
        <f>SUM($O5:$O11)</f>
        <v>7035.2569975461947</v>
      </c>
      <c r="I13" s="136"/>
      <c r="J13" s="445" t="str">
        <f>IF(R$2=1,"MILES &amp; mph",IF(R$2=2,"YARDS &amp; mph",IF(R$2=3,"METRES &amp; km/h","????")))</f>
        <v>MILES &amp; mph</v>
      </c>
      <c r="K13" s="446"/>
      <c r="L13" s="446"/>
      <c r="M13" s="446"/>
      <c r="N13" s="446"/>
      <c r="O13" s="168" t="str">
        <f t="shared" si="3"/>
        <v/>
      </c>
      <c r="P13" s="339"/>
      <c r="Q13" s="169">
        <f t="shared" si="4"/>
        <v>0</v>
      </c>
      <c r="R13" s="259"/>
      <c r="S13" s="369" t="str">
        <f t="shared" si="12"/>
        <v/>
      </c>
      <c r="T13" s="351"/>
      <c r="U13" s="351"/>
      <c r="V13" s="351"/>
      <c r="W13" s="351"/>
      <c r="X13" s="339"/>
      <c r="Y13" s="339"/>
      <c r="Z13" s="171"/>
      <c r="AA13" s="340">
        <f t="shared" si="8"/>
        <v>0</v>
      </c>
      <c r="AB13" s="342">
        <f t="shared" si="13"/>
        <v>0</v>
      </c>
      <c r="AC13" s="100"/>
      <c r="AD13" s="97"/>
      <c r="AE13" s="97"/>
    </row>
    <row r="14" spans="1:34" ht="16" thickTop="1">
      <c r="A14" s="1" t="s">
        <v>9</v>
      </c>
      <c r="B14" s="57">
        <f t="shared" ref="B14:B20" si="15">IF(B$2&gt;C14,0,C14)</f>
        <v>43136</v>
      </c>
      <c r="C14" s="40">
        <f>C11+1</f>
        <v>43136</v>
      </c>
      <c r="D14" s="22">
        <f t="shared" ca="1" si="1"/>
        <v>2</v>
      </c>
      <c r="E14" s="118" t="s">
        <v>1</v>
      </c>
      <c r="F14" s="55"/>
      <c r="G14" s="56"/>
      <c r="H14" s="56"/>
      <c r="I14" s="136"/>
      <c r="J14" s="128"/>
      <c r="K14" s="203" t="str">
        <f t="shared" ref="K14" si="16">IF(R14=0,"",IF(L14="","",J14))</f>
        <v/>
      </c>
      <c r="L14" s="128"/>
      <c r="M14" s="56" t="str">
        <f>IF(R14=0,"",IF(J14="","",L14))</f>
        <v/>
      </c>
      <c r="N14" s="327"/>
      <c r="O14" s="168">
        <f t="shared" si="3"/>
        <v>1758.8142493865487</v>
      </c>
      <c r="P14" s="339">
        <f t="shared" ref="P14:P20" si="17">H$56</f>
        <v>49243.256997546196</v>
      </c>
      <c r="Q14" s="169">
        <f t="shared" si="4"/>
        <v>30.598341346932727</v>
      </c>
      <c r="R14" s="365">
        <f>IF(R$2=3,H14+G14/1.0936133+F14/0.0006213712,IF(R$2=2,H14*1.0936133+G14+F14/0.0005681818,IF(R$2=1,H14*0.0005681818*1.0936133+G14*0.0005681818+F14,"")))</f>
        <v>0</v>
      </c>
      <c r="S14" s="369" t="str">
        <f t="shared" si="12"/>
        <v/>
      </c>
      <c r="T14" s="169"/>
      <c r="U14" s="169"/>
      <c r="V14" s="170" t="str">
        <f t="shared" ref="V14:V20" si="18">IF(L14="","",IF(R14=0,"",IF(B14=0,"",IF($R$2=3,R14/L14*60/1000,IF($R$2=2,R14/L14*60/1760,IF($R$2=1,R14/L14*60,""))))))</f>
        <v/>
      </c>
      <c r="W14" s="170" t="str">
        <f t="shared" ref="W14:W20" si="19">IF(R14=0,"",IF(L14="","",V14*L14))</f>
        <v/>
      </c>
      <c r="X14" s="168">
        <f>F14+X11</f>
        <v>0</v>
      </c>
      <c r="Y14" s="168">
        <f>G14+Y11</f>
        <v>0</v>
      </c>
      <c r="Z14" s="168">
        <f>H14+Z11</f>
        <v>0</v>
      </c>
      <c r="AA14" s="340">
        <f t="shared" si="8"/>
        <v>0</v>
      </c>
      <c r="AB14" s="342">
        <f t="shared" si="13"/>
        <v>0</v>
      </c>
      <c r="AC14" s="100"/>
      <c r="AD14" s="97"/>
      <c r="AE14" s="97"/>
    </row>
    <row r="15" spans="1:34">
      <c r="A15" s="1"/>
      <c r="B15" s="5">
        <f t="shared" si="15"/>
        <v>43137</v>
      </c>
      <c r="C15" s="38">
        <f t="shared" ref="C15:C20" si="20">C14+1</f>
        <v>43137</v>
      </c>
      <c r="D15" s="7">
        <f t="shared" ca="1" si="1"/>
        <v>1</v>
      </c>
      <c r="E15" s="114" t="s">
        <v>2</v>
      </c>
      <c r="F15" s="55"/>
      <c r="G15" s="56"/>
      <c r="H15" s="56"/>
      <c r="I15" s="200"/>
      <c r="J15" s="56"/>
      <c r="K15" s="204" t="str">
        <f>IF(R15=0,"",IF(L15="","",J15))</f>
        <v/>
      </c>
      <c r="L15" s="56"/>
      <c r="M15" s="56" t="str">
        <f t="shared" ref="M15:M20" si="21">IF(R15=0,"",IF(J15="","",L15))</f>
        <v/>
      </c>
      <c r="N15" s="324"/>
      <c r="O15" s="168">
        <f t="shared" si="3"/>
        <v>1758.8142493865487</v>
      </c>
      <c r="P15" s="339">
        <f t="shared" si="17"/>
        <v>49243.256997546196</v>
      </c>
      <c r="Q15" s="169">
        <f t="shared" si="4"/>
        <v>30.598341346932727</v>
      </c>
      <c r="R15" s="365">
        <f t="shared" ref="R15:R20" si="22">IF(R$2=3,H15+G15/1.0936133+F15/0.0006213712,IF(R$2=2,H15*1.0936133+G15+F15/0.0005681818,IF(R$2=1,H15*0.0005681818*1.0936133+G15*0.0005681818+F15,"")))</f>
        <v>0</v>
      </c>
      <c r="S15" s="369" t="str">
        <f t="shared" si="12"/>
        <v/>
      </c>
      <c r="T15" s="169"/>
      <c r="U15" s="169"/>
      <c r="V15" s="170" t="str">
        <f t="shared" si="18"/>
        <v/>
      </c>
      <c r="W15" s="170" t="str">
        <f t="shared" si="19"/>
        <v/>
      </c>
      <c r="X15" s="168">
        <f t="shared" ref="X15:Z20" si="23">F15+X14</f>
        <v>0</v>
      </c>
      <c r="Y15" s="168">
        <f t="shared" si="23"/>
        <v>0</v>
      </c>
      <c r="Z15" s="168">
        <f t="shared" si="23"/>
        <v>0</v>
      </c>
      <c r="AA15" s="340">
        <f t="shared" si="8"/>
        <v>0</v>
      </c>
      <c r="AB15" s="342">
        <f t="shared" si="13"/>
        <v>0</v>
      </c>
      <c r="AC15" s="100"/>
      <c r="AD15" s="97"/>
      <c r="AE15" s="97"/>
    </row>
    <row r="16" spans="1:34">
      <c r="A16" s="1"/>
      <c r="B16" s="5">
        <f t="shared" si="15"/>
        <v>43138</v>
      </c>
      <c r="C16" s="38">
        <f t="shared" si="20"/>
        <v>43138</v>
      </c>
      <c r="D16" s="7">
        <f t="shared" ca="1" si="1"/>
        <v>0</v>
      </c>
      <c r="E16" s="114" t="s">
        <v>3</v>
      </c>
      <c r="F16" s="55"/>
      <c r="G16" s="56"/>
      <c r="H16" s="56"/>
      <c r="I16" s="200"/>
      <c r="J16" s="56"/>
      <c r="K16" s="204" t="str">
        <f t="shared" ref="K16:K20" si="24">IF(R16=0,"",IF(L16="","",J16))</f>
        <v/>
      </c>
      <c r="L16" s="56"/>
      <c r="M16" s="56" t="str">
        <f t="shared" si="21"/>
        <v/>
      </c>
      <c r="N16" s="324"/>
      <c r="O16" s="168">
        <f t="shared" si="3"/>
        <v>1758.8142493865487</v>
      </c>
      <c r="P16" s="339">
        <f t="shared" si="17"/>
        <v>49243.256997546196</v>
      </c>
      <c r="Q16" s="169">
        <f t="shared" si="4"/>
        <v>30.598341346932727</v>
      </c>
      <c r="R16" s="365">
        <f t="shared" si="22"/>
        <v>0</v>
      </c>
      <c r="S16" s="369" t="str">
        <f t="shared" si="12"/>
        <v/>
      </c>
      <c r="T16" s="169"/>
      <c r="U16" s="169"/>
      <c r="V16" s="170" t="str">
        <f t="shared" si="18"/>
        <v/>
      </c>
      <c r="W16" s="170" t="str">
        <f t="shared" si="19"/>
        <v/>
      </c>
      <c r="X16" s="168">
        <f t="shared" si="23"/>
        <v>0</v>
      </c>
      <c r="Y16" s="168">
        <f t="shared" si="23"/>
        <v>0</v>
      </c>
      <c r="Z16" s="168">
        <f t="shared" si="23"/>
        <v>0</v>
      </c>
      <c r="AA16" s="340">
        <f t="shared" si="8"/>
        <v>0</v>
      </c>
      <c r="AB16" s="342">
        <f t="shared" si="13"/>
        <v>0</v>
      </c>
      <c r="AC16" s="100"/>
      <c r="AD16" s="97"/>
      <c r="AE16" s="97"/>
    </row>
    <row r="17" spans="1:31">
      <c r="A17" s="1"/>
      <c r="B17" s="5">
        <f t="shared" si="15"/>
        <v>43139</v>
      </c>
      <c r="C17" s="38">
        <f t="shared" si="20"/>
        <v>43139</v>
      </c>
      <c r="D17" s="7">
        <f t="shared" ca="1" si="1"/>
        <v>-1</v>
      </c>
      <c r="E17" s="114" t="s">
        <v>4</v>
      </c>
      <c r="F17" s="55"/>
      <c r="G17" s="56"/>
      <c r="H17" s="56"/>
      <c r="I17" s="200"/>
      <c r="J17" s="56"/>
      <c r="K17" s="204" t="str">
        <f t="shared" si="24"/>
        <v/>
      </c>
      <c r="L17" s="56"/>
      <c r="M17" s="56" t="str">
        <f t="shared" si="21"/>
        <v/>
      </c>
      <c r="N17" s="324"/>
      <c r="O17" s="168">
        <f t="shared" si="3"/>
        <v>1758.8142493865487</v>
      </c>
      <c r="P17" s="339">
        <f t="shared" si="17"/>
        <v>49243.256997546196</v>
      </c>
      <c r="Q17" s="169">
        <f t="shared" si="4"/>
        <v>30.598341346932727</v>
      </c>
      <c r="R17" s="365">
        <f t="shared" si="22"/>
        <v>0</v>
      </c>
      <c r="S17" s="369" t="str">
        <f t="shared" si="12"/>
        <v/>
      </c>
      <c r="T17" s="169"/>
      <c r="U17" s="169"/>
      <c r="V17" s="170" t="str">
        <f t="shared" si="18"/>
        <v/>
      </c>
      <c r="W17" s="170" t="str">
        <f t="shared" si="19"/>
        <v/>
      </c>
      <c r="X17" s="168">
        <f t="shared" si="23"/>
        <v>0</v>
      </c>
      <c r="Y17" s="168">
        <f t="shared" si="23"/>
        <v>0</v>
      </c>
      <c r="Z17" s="168">
        <f t="shared" si="23"/>
        <v>0</v>
      </c>
      <c r="AA17" s="340">
        <f t="shared" si="8"/>
        <v>0</v>
      </c>
      <c r="AB17" s="342">
        <f t="shared" si="13"/>
        <v>0</v>
      </c>
      <c r="AC17" s="100"/>
      <c r="AD17" s="97"/>
      <c r="AE17" s="97"/>
    </row>
    <row r="18" spans="1:31">
      <c r="A18" s="1"/>
      <c r="B18" s="5">
        <f t="shared" si="15"/>
        <v>43140</v>
      </c>
      <c r="C18" s="38">
        <f t="shared" si="20"/>
        <v>43140</v>
      </c>
      <c r="D18" s="7">
        <f t="shared" ca="1" si="1"/>
        <v>-2</v>
      </c>
      <c r="E18" s="114" t="s">
        <v>5</v>
      </c>
      <c r="F18" s="55"/>
      <c r="G18" s="56"/>
      <c r="H18" s="56"/>
      <c r="I18" s="200"/>
      <c r="J18" s="56"/>
      <c r="K18" s="204" t="str">
        <f t="shared" si="24"/>
        <v/>
      </c>
      <c r="L18" s="56"/>
      <c r="M18" s="56" t="str">
        <f t="shared" si="21"/>
        <v/>
      </c>
      <c r="N18" s="324"/>
      <c r="O18" s="168">
        <f t="shared" si="3"/>
        <v>1758.8142493865487</v>
      </c>
      <c r="P18" s="339">
        <f t="shared" si="17"/>
        <v>49243.256997546196</v>
      </c>
      <c r="Q18" s="169">
        <f t="shared" si="4"/>
        <v>30.598341346932727</v>
      </c>
      <c r="R18" s="365">
        <f t="shared" si="22"/>
        <v>0</v>
      </c>
      <c r="S18" s="369" t="str">
        <f t="shared" si="12"/>
        <v/>
      </c>
      <c r="T18" s="169"/>
      <c r="U18" s="169"/>
      <c r="V18" s="170" t="str">
        <f t="shared" si="18"/>
        <v/>
      </c>
      <c r="W18" s="170" t="str">
        <f t="shared" si="19"/>
        <v/>
      </c>
      <c r="X18" s="168">
        <f t="shared" si="23"/>
        <v>0</v>
      </c>
      <c r="Y18" s="168">
        <f t="shared" si="23"/>
        <v>0</v>
      </c>
      <c r="Z18" s="168">
        <f t="shared" si="23"/>
        <v>0</v>
      </c>
      <c r="AA18" s="340">
        <f t="shared" si="8"/>
        <v>0</v>
      </c>
      <c r="AB18" s="342">
        <f t="shared" si="13"/>
        <v>0</v>
      </c>
      <c r="AC18" s="100"/>
      <c r="AD18" s="97"/>
      <c r="AE18" s="97"/>
    </row>
    <row r="19" spans="1:31">
      <c r="A19" s="1"/>
      <c r="B19" s="5">
        <f t="shared" si="15"/>
        <v>43141</v>
      </c>
      <c r="C19" s="38">
        <f t="shared" si="20"/>
        <v>43141</v>
      </c>
      <c r="D19" s="7">
        <f t="shared" ca="1" si="1"/>
        <v>-3</v>
      </c>
      <c r="E19" s="114" t="s">
        <v>6</v>
      </c>
      <c r="F19" s="55"/>
      <c r="G19" s="56"/>
      <c r="H19" s="56"/>
      <c r="I19" s="200"/>
      <c r="J19" s="56"/>
      <c r="K19" s="204" t="str">
        <f t="shared" si="24"/>
        <v/>
      </c>
      <c r="L19" s="56"/>
      <c r="M19" s="56" t="str">
        <f t="shared" si="21"/>
        <v/>
      </c>
      <c r="N19" s="324"/>
      <c r="O19" s="168">
        <f t="shared" si="3"/>
        <v>1758.8142493865487</v>
      </c>
      <c r="P19" s="339">
        <f t="shared" si="17"/>
        <v>49243.256997546196</v>
      </c>
      <c r="Q19" s="169">
        <f t="shared" si="4"/>
        <v>30.598341346932727</v>
      </c>
      <c r="R19" s="365">
        <f t="shared" si="22"/>
        <v>0</v>
      </c>
      <c r="S19" s="369" t="str">
        <f t="shared" si="12"/>
        <v/>
      </c>
      <c r="T19" s="169"/>
      <c r="U19" s="169"/>
      <c r="V19" s="170" t="str">
        <f t="shared" si="18"/>
        <v/>
      </c>
      <c r="W19" s="170" t="str">
        <f t="shared" si="19"/>
        <v/>
      </c>
      <c r="X19" s="168">
        <f t="shared" si="23"/>
        <v>0</v>
      </c>
      <c r="Y19" s="168">
        <f t="shared" si="23"/>
        <v>0</v>
      </c>
      <c r="Z19" s="168">
        <f t="shared" si="23"/>
        <v>0</v>
      </c>
      <c r="AA19" s="340">
        <f t="shared" si="8"/>
        <v>0</v>
      </c>
      <c r="AB19" s="342">
        <f t="shared" si="13"/>
        <v>0</v>
      </c>
      <c r="AC19" s="100"/>
      <c r="AD19" s="97"/>
      <c r="AE19" s="97"/>
    </row>
    <row r="20" spans="1:31" ht="16" thickBot="1">
      <c r="A20" s="1"/>
      <c r="B20" s="53">
        <f t="shared" si="15"/>
        <v>43142</v>
      </c>
      <c r="C20" s="41">
        <f t="shared" si="20"/>
        <v>43142</v>
      </c>
      <c r="D20" s="54">
        <f t="shared" ca="1" si="1"/>
        <v>-4</v>
      </c>
      <c r="E20" s="117" t="s">
        <v>7</v>
      </c>
      <c r="F20" s="55"/>
      <c r="G20" s="56"/>
      <c r="H20" s="56"/>
      <c r="I20" s="200"/>
      <c r="J20" s="56"/>
      <c r="K20" s="205" t="str">
        <f t="shared" si="24"/>
        <v/>
      </c>
      <c r="L20" s="56"/>
      <c r="M20" s="56" t="str">
        <f t="shared" si="21"/>
        <v/>
      </c>
      <c r="N20" s="329"/>
      <c r="O20" s="168">
        <f t="shared" si="3"/>
        <v>1758.8142493865487</v>
      </c>
      <c r="P20" s="339">
        <f t="shared" si="17"/>
        <v>49243.256997546196</v>
      </c>
      <c r="Q20" s="169">
        <f t="shared" si="4"/>
        <v>30.598341346932727</v>
      </c>
      <c r="R20" s="365">
        <f t="shared" si="22"/>
        <v>0</v>
      </c>
      <c r="S20" s="369" t="str">
        <f t="shared" si="12"/>
        <v/>
      </c>
      <c r="T20" s="169"/>
      <c r="U20" s="169"/>
      <c r="V20" s="170" t="str">
        <f t="shared" si="18"/>
        <v/>
      </c>
      <c r="W20" s="170" t="str">
        <f t="shared" si="19"/>
        <v/>
      </c>
      <c r="X20" s="168">
        <f t="shared" si="23"/>
        <v>0</v>
      </c>
      <c r="Y20" s="168">
        <f t="shared" si="23"/>
        <v>0</v>
      </c>
      <c r="Z20" s="168">
        <f t="shared" si="23"/>
        <v>0</v>
      </c>
      <c r="AA20" s="340">
        <f t="shared" si="8"/>
        <v>0</v>
      </c>
      <c r="AB20" s="342">
        <f t="shared" si="13"/>
        <v>0</v>
      </c>
      <c r="AC20" s="100"/>
      <c r="AD20" s="97"/>
      <c r="AE20" s="97"/>
    </row>
    <row r="21" spans="1:31" ht="16" thickTop="1">
      <c r="A21" s="29"/>
      <c r="B21" s="16"/>
      <c r="C21" s="42"/>
      <c r="D21" s="60">
        <f ca="1">TODAY()-C21</f>
        <v>43138</v>
      </c>
      <c r="E21" s="113" t="s">
        <v>76</v>
      </c>
      <c r="F21" s="59">
        <f ca="1">G21*0.000568181818</f>
        <v>0</v>
      </c>
      <c r="G21" s="19">
        <f ca="1">H21*1.0936113</f>
        <v>0</v>
      </c>
      <c r="H21" s="129">
        <f ca="1">IF(TODAY()&gt;=B14,(AA20-AA11)*1000,-2E-55)</f>
        <v>0</v>
      </c>
      <c r="I21" s="152"/>
      <c r="J21" s="447" t="str">
        <f>IF(R21=0,"",#REF!)</f>
        <v/>
      </c>
      <c r="K21" s="448"/>
      <c r="L21" s="448"/>
      <c r="M21" s="448"/>
      <c r="N21" s="448"/>
      <c r="O21" s="168" t="str">
        <f t="shared" si="3"/>
        <v/>
      </c>
      <c r="P21" s="339"/>
      <c r="Q21" s="169">
        <f t="shared" si="4"/>
        <v>0</v>
      </c>
      <c r="R21" s="366"/>
      <c r="S21" s="369" t="str">
        <f t="shared" si="12"/>
        <v/>
      </c>
      <c r="T21" s="350"/>
      <c r="U21" s="350"/>
      <c r="V21" s="350"/>
      <c r="W21" s="350"/>
      <c r="X21" s="171"/>
      <c r="Y21" s="171"/>
      <c r="Z21" s="171"/>
      <c r="AA21" s="340">
        <f t="shared" si="8"/>
        <v>0</v>
      </c>
      <c r="AB21" s="342">
        <f t="shared" si="13"/>
        <v>0</v>
      </c>
      <c r="AC21" s="100"/>
      <c r="AD21" s="97"/>
      <c r="AE21" s="97"/>
    </row>
    <row r="22" spans="1:31" ht="16" thickBot="1">
      <c r="A22" s="28"/>
      <c r="B22" s="17"/>
      <c r="C22" s="39"/>
      <c r="D22" s="61">
        <f ca="1">TODAY()-C22</f>
        <v>43138</v>
      </c>
      <c r="E22" s="116" t="s">
        <v>33</v>
      </c>
      <c r="F22" s="62">
        <f>G22*0.0005681818</f>
        <v>7.6496865246986605</v>
      </c>
      <c r="G22" s="63">
        <f>H22*1.0936113</f>
        <v>13463.448714300001</v>
      </c>
      <c r="H22" s="131">
        <f>INT(SUM($O14:$O20))</f>
        <v>12311</v>
      </c>
      <c r="I22" s="153"/>
      <c r="J22" s="449"/>
      <c r="K22" s="450"/>
      <c r="L22" s="451"/>
      <c r="M22" s="451"/>
      <c r="N22" s="451"/>
      <c r="O22" s="168" t="str">
        <f t="shared" si="3"/>
        <v/>
      </c>
      <c r="P22" s="339"/>
      <c r="Q22" s="169">
        <f t="shared" si="4"/>
        <v>0</v>
      </c>
      <c r="R22" s="259"/>
      <c r="S22" s="369" t="str">
        <f t="shared" si="12"/>
        <v/>
      </c>
      <c r="T22" s="351"/>
      <c r="U22" s="351"/>
      <c r="V22" s="351"/>
      <c r="W22" s="351"/>
      <c r="X22" s="171"/>
      <c r="Y22" s="171"/>
      <c r="Z22" s="171"/>
      <c r="AA22" s="340">
        <f t="shared" si="8"/>
        <v>0</v>
      </c>
      <c r="AB22" s="342">
        <f t="shared" si="13"/>
        <v>0</v>
      </c>
      <c r="AC22" s="100"/>
      <c r="AD22" s="97"/>
      <c r="AE22" s="97"/>
    </row>
    <row r="23" spans="1:31" ht="16" thickTop="1">
      <c r="A23" s="1" t="s">
        <v>10</v>
      </c>
      <c r="B23" s="57">
        <f t="shared" ref="B23:B29" si="25">IF(B$2&gt;C23,0,C23)</f>
        <v>43143</v>
      </c>
      <c r="C23" s="40">
        <f>C20+1</f>
        <v>43143</v>
      </c>
      <c r="D23" s="22">
        <f t="shared" ca="1" si="1"/>
        <v>-5</v>
      </c>
      <c r="E23" s="118" t="s">
        <v>1</v>
      </c>
      <c r="F23" s="55"/>
      <c r="G23" s="56"/>
      <c r="H23" s="56"/>
      <c r="I23" s="200"/>
      <c r="J23" s="128"/>
      <c r="K23" s="287" t="str">
        <f t="shared" ref="K23" si="26">IF(R23=0,"",IF(L23="","",J23))</f>
        <v/>
      </c>
      <c r="L23" s="128"/>
      <c r="M23" s="56" t="str">
        <f>IF(R23=0,"",IF(J23="","",L23))</f>
        <v/>
      </c>
      <c r="N23" s="330"/>
      <c r="O23" s="168">
        <f t="shared" si="3"/>
        <v>1758.8142493865487</v>
      </c>
      <c r="P23" s="339">
        <f t="shared" ref="P23:P29" si="27">H$56</f>
        <v>49243.256997546196</v>
      </c>
      <c r="Q23" s="169">
        <f t="shared" si="4"/>
        <v>30.598341346932727</v>
      </c>
      <c r="R23" s="365">
        <f>IF(R$2=3,H23+G23/1.0936133+F23/0.0006213712,IF(R$2=2,H23*1.0936133+G23+F23/0.0005681818,IF(R$2=1,H23*0.0005681818*1.0936133+G23*0.0005681818+F23,"")))</f>
        <v>0</v>
      </c>
      <c r="S23" s="369" t="str">
        <f t="shared" si="12"/>
        <v/>
      </c>
      <c r="T23" s="169"/>
      <c r="U23" s="169"/>
      <c r="V23" s="170" t="str">
        <f t="shared" ref="V23:V29" si="28">IF(L23="","",IF(R23=0,"",IF(B23=0,"",IF($R$2=3,R23/L23*60/1000,IF($R$2=2,R23/L23*60/1760,IF($R$2=1,R23/L23*60,""))))))</f>
        <v/>
      </c>
      <c r="W23" s="170" t="str">
        <f t="shared" ref="W23:W29" si="29">IF(R23=0,"",IF(L23="","",V23*L23))</f>
        <v/>
      </c>
      <c r="X23" s="168">
        <f>F23+X20</f>
        <v>0</v>
      </c>
      <c r="Y23" s="168">
        <f>G23+Y20</f>
        <v>0</v>
      </c>
      <c r="Z23" s="168">
        <f>H23+Z20</f>
        <v>0</v>
      </c>
      <c r="AA23" s="340">
        <f t="shared" si="8"/>
        <v>0</v>
      </c>
      <c r="AB23" s="342">
        <f t="shared" si="13"/>
        <v>0</v>
      </c>
      <c r="AC23" s="100"/>
      <c r="AD23" s="97"/>
      <c r="AE23" s="97"/>
    </row>
    <row r="24" spans="1:31">
      <c r="A24" s="1"/>
      <c r="B24" s="5">
        <f t="shared" si="25"/>
        <v>43144</v>
      </c>
      <c r="C24" s="38">
        <f t="shared" ref="C24:C29" si="30">C23+1</f>
        <v>43144</v>
      </c>
      <c r="D24" s="7">
        <f t="shared" ca="1" si="1"/>
        <v>-6</v>
      </c>
      <c r="E24" s="114" t="s">
        <v>2</v>
      </c>
      <c r="F24" s="55"/>
      <c r="G24" s="56"/>
      <c r="H24" s="56"/>
      <c r="I24" s="200"/>
      <c r="J24" s="56"/>
      <c r="K24" s="204" t="str">
        <f>IF(R24=0,"",IF(L24="","",J24))</f>
        <v/>
      </c>
      <c r="L24" s="56"/>
      <c r="M24" s="56" t="str">
        <f t="shared" ref="M24:M29" si="31">IF(R24=0,"",IF(J24="","",L24))</f>
        <v/>
      </c>
      <c r="N24" s="324"/>
      <c r="O24" s="168">
        <f t="shared" si="3"/>
        <v>1758.8142493865487</v>
      </c>
      <c r="P24" s="339">
        <f t="shared" si="27"/>
        <v>49243.256997546196</v>
      </c>
      <c r="Q24" s="169">
        <f t="shared" si="4"/>
        <v>30.598341346932727</v>
      </c>
      <c r="R24" s="365">
        <f t="shared" ref="R24:R29" si="32">IF(R$2=3,H24+G24/1.0936133+F24/0.0006213712,IF(R$2=2,H24*1.0936133+G24+F24/0.0005681818,IF(R$2=1,H24*0.0005681818*1.0936133+G24*0.0005681818+F24,"")))</f>
        <v>0</v>
      </c>
      <c r="S24" s="369" t="str">
        <f t="shared" si="12"/>
        <v/>
      </c>
      <c r="T24" s="169"/>
      <c r="U24" s="169"/>
      <c r="V24" s="170" t="str">
        <f t="shared" si="28"/>
        <v/>
      </c>
      <c r="W24" s="170" t="str">
        <f t="shared" si="29"/>
        <v/>
      </c>
      <c r="X24" s="168">
        <f t="shared" ref="X24:Z29" si="33">F24+X23</f>
        <v>0</v>
      </c>
      <c r="Y24" s="168">
        <f t="shared" si="33"/>
        <v>0</v>
      </c>
      <c r="Z24" s="168">
        <f t="shared" si="33"/>
        <v>0</v>
      </c>
      <c r="AA24" s="340">
        <f t="shared" si="8"/>
        <v>0</v>
      </c>
      <c r="AB24" s="342">
        <f t="shared" si="13"/>
        <v>0</v>
      </c>
      <c r="AC24" s="100"/>
      <c r="AD24" s="97"/>
      <c r="AE24" s="97"/>
    </row>
    <row r="25" spans="1:31">
      <c r="A25" s="1"/>
      <c r="B25" s="5">
        <f t="shared" si="25"/>
        <v>43145</v>
      </c>
      <c r="C25" s="38">
        <f t="shared" si="30"/>
        <v>43145</v>
      </c>
      <c r="D25" s="7">
        <f t="shared" ca="1" si="1"/>
        <v>-7</v>
      </c>
      <c r="E25" s="114" t="s">
        <v>3</v>
      </c>
      <c r="F25" s="55"/>
      <c r="G25" s="56"/>
      <c r="H25" s="56"/>
      <c r="I25" s="200"/>
      <c r="J25" s="56"/>
      <c r="K25" s="204" t="str">
        <f t="shared" ref="K25:K29" si="34">IF(R25=0,"",IF(L25="","",J25))</f>
        <v/>
      </c>
      <c r="L25" s="56"/>
      <c r="M25" s="56" t="str">
        <f t="shared" si="31"/>
        <v/>
      </c>
      <c r="N25" s="324"/>
      <c r="O25" s="168">
        <f t="shared" si="3"/>
        <v>1758.8142493865487</v>
      </c>
      <c r="P25" s="339">
        <f t="shared" si="27"/>
        <v>49243.256997546196</v>
      </c>
      <c r="Q25" s="169">
        <f t="shared" si="4"/>
        <v>30.598341346932727</v>
      </c>
      <c r="R25" s="365">
        <f t="shared" si="32"/>
        <v>0</v>
      </c>
      <c r="S25" s="369" t="str">
        <f t="shared" si="12"/>
        <v/>
      </c>
      <c r="T25" s="169"/>
      <c r="U25" s="169"/>
      <c r="V25" s="170" t="str">
        <f t="shared" si="28"/>
        <v/>
      </c>
      <c r="W25" s="170" t="str">
        <f t="shared" si="29"/>
        <v/>
      </c>
      <c r="X25" s="168">
        <f t="shared" si="33"/>
        <v>0</v>
      </c>
      <c r="Y25" s="168">
        <f t="shared" si="33"/>
        <v>0</v>
      </c>
      <c r="Z25" s="168">
        <f t="shared" si="33"/>
        <v>0</v>
      </c>
      <c r="AA25" s="340">
        <f t="shared" si="8"/>
        <v>0</v>
      </c>
      <c r="AB25" s="342">
        <f t="shared" si="13"/>
        <v>0</v>
      </c>
      <c r="AC25" s="100"/>
      <c r="AD25" s="97"/>
      <c r="AE25" s="97"/>
    </row>
    <row r="26" spans="1:31">
      <c r="A26" s="1"/>
      <c r="B26" s="5">
        <f t="shared" si="25"/>
        <v>43146</v>
      </c>
      <c r="C26" s="38">
        <f t="shared" si="30"/>
        <v>43146</v>
      </c>
      <c r="D26" s="7">
        <f t="shared" ca="1" si="1"/>
        <v>-8</v>
      </c>
      <c r="E26" s="114" t="s">
        <v>4</v>
      </c>
      <c r="F26" s="55"/>
      <c r="G26" s="56"/>
      <c r="H26" s="56"/>
      <c r="I26" s="200"/>
      <c r="J26" s="56"/>
      <c r="K26" s="204" t="str">
        <f t="shared" si="34"/>
        <v/>
      </c>
      <c r="L26" s="56"/>
      <c r="M26" s="56" t="str">
        <f t="shared" si="31"/>
        <v/>
      </c>
      <c r="N26" s="324"/>
      <c r="O26" s="168">
        <f t="shared" si="3"/>
        <v>1758.8142493865487</v>
      </c>
      <c r="P26" s="339">
        <f t="shared" si="27"/>
        <v>49243.256997546196</v>
      </c>
      <c r="Q26" s="169">
        <f t="shared" si="4"/>
        <v>30.598341346932727</v>
      </c>
      <c r="R26" s="365">
        <f t="shared" si="32"/>
        <v>0</v>
      </c>
      <c r="S26" s="369" t="str">
        <f t="shared" si="12"/>
        <v/>
      </c>
      <c r="T26" s="169"/>
      <c r="U26" s="169"/>
      <c r="V26" s="170" t="str">
        <f t="shared" si="28"/>
        <v/>
      </c>
      <c r="W26" s="170" t="str">
        <f t="shared" si="29"/>
        <v/>
      </c>
      <c r="X26" s="168">
        <f t="shared" si="33"/>
        <v>0</v>
      </c>
      <c r="Y26" s="168">
        <f t="shared" si="33"/>
        <v>0</v>
      </c>
      <c r="Z26" s="168">
        <f t="shared" si="33"/>
        <v>0</v>
      </c>
      <c r="AA26" s="340">
        <f t="shared" si="8"/>
        <v>0</v>
      </c>
      <c r="AB26" s="342">
        <f t="shared" si="13"/>
        <v>0</v>
      </c>
      <c r="AC26" s="100"/>
      <c r="AD26" s="97"/>
      <c r="AE26" s="97"/>
    </row>
    <row r="27" spans="1:31">
      <c r="A27" s="1"/>
      <c r="B27" s="5">
        <f t="shared" si="25"/>
        <v>43147</v>
      </c>
      <c r="C27" s="38">
        <f t="shared" si="30"/>
        <v>43147</v>
      </c>
      <c r="D27" s="7">
        <f t="shared" ca="1" si="1"/>
        <v>-9</v>
      </c>
      <c r="E27" s="114" t="s">
        <v>5</v>
      </c>
      <c r="F27" s="55"/>
      <c r="G27" s="56"/>
      <c r="H27" s="56"/>
      <c r="I27" s="200"/>
      <c r="J27" s="56"/>
      <c r="K27" s="204" t="str">
        <f t="shared" si="34"/>
        <v/>
      </c>
      <c r="L27" s="56"/>
      <c r="M27" s="56" t="str">
        <f t="shared" si="31"/>
        <v/>
      </c>
      <c r="N27" s="324"/>
      <c r="O27" s="168">
        <f t="shared" si="3"/>
        <v>1758.8142493865487</v>
      </c>
      <c r="P27" s="339">
        <f t="shared" si="27"/>
        <v>49243.256997546196</v>
      </c>
      <c r="Q27" s="169">
        <f t="shared" si="4"/>
        <v>30.598341346932727</v>
      </c>
      <c r="R27" s="365">
        <f t="shared" si="32"/>
        <v>0</v>
      </c>
      <c r="S27" s="369" t="str">
        <f t="shared" si="12"/>
        <v/>
      </c>
      <c r="T27" s="169"/>
      <c r="U27" s="169"/>
      <c r="V27" s="170" t="str">
        <f t="shared" si="28"/>
        <v/>
      </c>
      <c r="W27" s="170" t="str">
        <f t="shared" si="29"/>
        <v/>
      </c>
      <c r="X27" s="168">
        <f t="shared" si="33"/>
        <v>0</v>
      </c>
      <c r="Y27" s="168">
        <f t="shared" si="33"/>
        <v>0</v>
      </c>
      <c r="Z27" s="168">
        <f t="shared" si="33"/>
        <v>0</v>
      </c>
      <c r="AA27" s="340">
        <f t="shared" si="8"/>
        <v>0</v>
      </c>
      <c r="AB27" s="342">
        <f t="shared" si="13"/>
        <v>0</v>
      </c>
      <c r="AC27" s="100"/>
      <c r="AD27" s="97"/>
      <c r="AE27" s="97"/>
    </row>
    <row r="28" spans="1:31">
      <c r="A28" s="1"/>
      <c r="B28" s="5">
        <f t="shared" si="25"/>
        <v>43148</v>
      </c>
      <c r="C28" s="38">
        <f t="shared" si="30"/>
        <v>43148</v>
      </c>
      <c r="D28" s="7">
        <f t="shared" ca="1" si="1"/>
        <v>-10</v>
      </c>
      <c r="E28" s="114" t="s">
        <v>6</v>
      </c>
      <c r="F28" s="55"/>
      <c r="G28" s="56"/>
      <c r="H28" s="56"/>
      <c r="I28" s="200"/>
      <c r="J28" s="56"/>
      <c r="K28" s="204" t="str">
        <f t="shared" si="34"/>
        <v/>
      </c>
      <c r="L28" s="56"/>
      <c r="M28" s="56" t="str">
        <f t="shared" si="31"/>
        <v/>
      </c>
      <c r="N28" s="324"/>
      <c r="O28" s="168">
        <f t="shared" si="3"/>
        <v>1758.8142493865487</v>
      </c>
      <c r="P28" s="339">
        <f t="shared" si="27"/>
        <v>49243.256997546196</v>
      </c>
      <c r="Q28" s="169">
        <f t="shared" si="4"/>
        <v>30.598341346932727</v>
      </c>
      <c r="R28" s="365">
        <f t="shared" si="32"/>
        <v>0</v>
      </c>
      <c r="S28" s="369" t="str">
        <f t="shared" si="12"/>
        <v/>
      </c>
      <c r="T28" s="169"/>
      <c r="U28" s="169"/>
      <c r="V28" s="170" t="str">
        <f t="shared" si="28"/>
        <v/>
      </c>
      <c r="W28" s="170" t="str">
        <f t="shared" si="29"/>
        <v/>
      </c>
      <c r="X28" s="168">
        <f t="shared" si="33"/>
        <v>0</v>
      </c>
      <c r="Y28" s="168">
        <f t="shared" si="33"/>
        <v>0</v>
      </c>
      <c r="Z28" s="168">
        <f t="shared" si="33"/>
        <v>0</v>
      </c>
      <c r="AA28" s="340">
        <f t="shared" si="8"/>
        <v>0</v>
      </c>
      <c r="AB28" s="342">
        <f t="shared" si="13"/>
        <v>0</v>
      </c>
      <c r="AC28" s="100"/>
      <c r="AD28" s="97"/>
      <c r="AE28" s="97"/>
    </row>
    <row r="29" spans="1:31" ht="16" thickBot="1">
      <c r="A29" s="1"/>
      <c r="B29" s="53">
        <f t="shared" si="25"/>
        <v>43149</v>
      </c>
      <c r="C29" s="41">
        <f t="shared" si="30"/>
        <v>43149</v>
      </c>
      <c r="D29" s="54">
        <f t="shared" ca="1" si="1"/>
        <v>-11</v>
      </c>
      <c r="E29" s="117" t="s">
        <v>7</v>
      </c>
      <c r="F29" s="55"/>
      <c r="G29" s="56"/>
      <c r="H29" s="56"/>
      <c r="I29" s="200"/>
      <c r="J29" s="56"/>
      <c r="K29" s="205" t="str">
        <f t="shared" si="34"/>
        <v/>
      </c>
      <c r="L29" s="56"/>
      <c r="M29" s="56" t="str">
        <f t="shared" si="31"/>
        <v/>
      </c>
      <c r="N29" s="329"/>
      <c r="O29" s="168">
        <f t="shared" si="3"/>
        <v>1758.8142493865487</v>
      </c>
      <c r="P29" s="339">
        <f t="shared" si="27"/>
        <v>49243.256997546196</v>
      </c>
      <c r="Q29" s="169">
        <f t="shared" si="4"/>
        <v>30.598341346932727</v>
      </c>
      <c r="R29" s="365">
        <f t="shared" si="32"/>
        <v>0</v>
      </c>
      <c r="S29" s="369" t="str">
        <f t="shared" si="12"/>
        <v/>
      </c>
      <c r="T29" s="169"/>
      <c r="U29" s="169"/>
      <c r="V29" s="170" t="str">
        <f t="shared" si="28"/>
        <v/>
      </c>
      <c r="W29" s="170" t="str">
        <f t="shared" si="29"/>
        <v/>
      </c>
      <c r="X29" s="168">
        <f t="shared" si="33"/>
        <v>0</v>
      </c>
      <c r="Y29" s="168">
        <f t="shared" si="33"/>
        <v>0</v>
      </c>
      <c r="Z29" s="168">
        <f t="shared" si="33"/>
        <v>0</v>
      </c>
      <c r="AA29" s="340">
        <f t="shared" si="8"/>
        <v>0</v>
      </c>
      <c r="AB29" s="342">
        <f t="shared" si="13"/>
        <v>0</v>
      </c>
      <c r="AC29" s="100"/>
      <c r="AD29" s="97"/>
      <c r="AE29" s="97"/>
    </row>
    <row r="30" spans="1:31" ht="16" thickTop="1">
      <c r="A30" s="29"/>
      <c r="B30" s="16"/>
      <c r="C30" s="42"/>
      <c r="D30" s="60">
        <f ca="1">TODAY()-C30</f>
        <v>43138</v>
      </c>
      <c r="E30" s="113" t="s">
        <v>76</v>
      </c>
      <c r="F30" s="59">
        <f ca="1">G30*0.000568181818</f>
        <v>-1.2427401132386871E-58</v>
      </c>
      <c r="G30" s="19">
        <f ca="1">H30*1.0936113</f>
        <v>-2.1872226000000002E-55</v>
      </c>
      <c r="H30" s="129">
        <f ca="1">IF(TODAY()&gt;=B23,(AA29-AA20)*1000,-2E-55)</f>
        <v>-2E-55</v>
      </c>
      <c r="I30" s="152"/>
      <c r="J30" s="424" t="s">
        <v>121</v>
      </c>
      <c r="K30" s="452"/>
      <c r="L30" s="452"/>
      <c r="M30" s="453"/>
      <c r="N30" s="453"/>
      <c r="O30" s="168" t="str">
        <f t="shared" si="3"/>
        <v/>
      </c>
      <c r="P30" s="339"/>
      <c r="Q30" s="169">
        <f t="shared" si="4"/>
        <v>0</v>
      </c>
      <c r="R30" s="366"/>
      <c r="S30" s="369" t="str">
        <f t="shared" si="12"/>
        <v/>
      </c>
      <c r="T30" s="350"/>
      <c r="U30" s="350"/>
      <c r="V30" s="350"/>
      <c r="W30" s="350"/>
      <c r="X30" s="171"/>
      <c r="Y30" s="171"/>
      <c r="Z30" s="171"/>
      <c r="AA30" s="340">
        <f t="shared" si="8"/>
        <v>0</v>
      </c>
      <c r="AB30" s="342">
        <f t="shared" si="13"/>
        <v>0</v>
      </c>
      <c r="AC30" s="100"/>
      <c r="AD30" s="97"/>
      <c r="AE30" s="97"/>
    </row>
    <row r="31" spans="1:31" ht="19" thickBot="1">
      <c r="A31" s="28"/>
      <c r="B31" s="17"/>
      <c r="C31" s="39"/>
      <c r="D31" s="61">
        <f ca="1">TODAY()-C31</f>
        <v>43138</v>
      </c>
      <c r="E31" s="116" t="s">
        <v>33</v>
      </c>
      <c r="F31" s="62">
        <f>G31*0.0005681818</f>
        <v>7.6496865246986605</v>
      </c>
      <c r="G31" s="63">
        <f>H31*1.0936113</f>
        <v>13463.448714300001</v>
      </c>
      <c r="H31" s="131">
        <f>INT(SUM($O23:$O29))</f>
        <v>12311</v>
      </c>
      <c r="I31" s="153"/>
      <c r="J31" s="426" t="str">
        <f>IF(R$2=1,"mph",IF(R$2=2,"mph",IF(R$2=3," km/h","????")))</f>
        <v>mph</v>
      </c>
      <c r="K31" s="454"/>
      <c r="L31" s="454"/>
      <c r="M31" s="455"/>
      <c r="N31" s="455"/>
      <c r="O31" s="168" t="str">
        <f t="shared" si="3"/>
        <v/>
      </c>
      <c r="P31" s="339"/>
      <c r="Q31" s="169">
        <f t="shared" si="4"/>
        <v>0</v>
      </c>
      <c r="R31" s="259"/>
      <c r="S31" s="369" t="str">
        <f t="shared" si="12"/>
        <v/>
      </c>
      <c r="T31" s="351"/>
      <c r="U31" s="351"/>
      <c r="V31" s="351"/>
      <c r="W31" s="351"/>
      <c r="X31" s="171"/>
      <c r="Y31" s="171"/>
      <c r="Z31" s="171"/>
      <c r="AA31" s="340">
        <f t="shared" si="8"/>
        <v>0</v>
      </c>
      <c r="AB31" s="342">
        <f t="shared" si="13"/>
        <v>0</v>
      </c>
      <c r="AC31" s="100"/>
      <c r="AD31" s="97"/>
      <c r="AE31" s="97"/>
    </row>
    <row r="32" spans="1:31" ht="16" thickTop="1">
      <c r="A32" s="1" t="s">
        <v>11</v>
      </c>
      <c r="B32" s="57">
        <f t="shared" ref="B32:B38" si="35">IF(B$2&gt;C32,0,C32)</f>
        <v>43150</v>
      </c>
      <c r="C32" s="40">
        <f>C29+1</f>
        <v>43150</v>
      </c>
      <c r="D32" s="22">
        <f t="shared" ca="1" si="1"/>
        <v>-12</v>
      </c>
      <c r="E32" s="118" t="s">
        <v>1</v>
      </c>
      <c r="F32" s="55"/>
      <c r="G32" s="56"/>
      <c r="H32" s="56"/>
      <c r="I32" s="200"/>
      <c r="J32" s="128"/>
      <c r="K32" s="203" t="str">
        <f t="shared" ref="K32" si="36">IF(R32=0,"",IF(L32="","",J32))</f>
        <v/>
      </c>
      <c r="L32" s="154"/>
      <c r="M32" s="56" t="str">
        <f>IF(R32=0,"",IF(J32="","",L32))</f>
        <v/>
      </c>
      <c r="N32" s="330"/>
      <c r="O32" s="168">
        <f t="shared" si="3"/>
        <v>1758.8142493865487</v>
      </c>
      <c r="P32" s="339">
        <f t="shared" ref="P32:P38" si="37">H$56</f>
        <v>49243.256997546196</v>
      </c>
      <c r="Q32" s="169">
        <f t="shared" si="4"/>
        <v>30.598341346932727</v>
      </c>
      <c r="R32" s="365">
        <f>IF(R$2=3,H32+G32/1.0936133+F32/0.0006213712,IF(R$2=2,H32*1.0936133+G32+F32/0.0005681818,IF(R$2=1,H32*0.0005681818*1.0936133+G32*0.0005681818+F32,"")))</f>
        <v>0</v>
      </c>
      <c r="S32" s="369" t="str">
        <f t="shared" si="12"/>
        <v/>
      </c>
      <c r="T32" s="169"/>
      <c r="U32" s="169"/>
      <c r="V32" s="170" t="str">
        <f t="shared" ref="V32:V38" si="38">IF(L32="","",IF(R32=0,"",IF(B32=0,"",IF($R$2=3,R32/L32*60/1000,IF($R$2=2,R32/L32*60/1760,IF($R$2=1,R32/L32*60,""))))))</f>
        <v/>
      </c>
      <c r="W32" s="170" t="str">
        <f t="shared" ref="W32:W38" si="39">IF(R32=0,"",IF(L32="","",V32*L32))</f>
        <v/>
      </c>
      <c r="X32" s="168">
        <f>F32+X29</f>
        <v>0</v>
      </c>
      <c r="Y32" s="168">
        <f>G32+Y29</f>
        <v>0</v>
      </c>
      <c r="Z32" s="168">
        <f>H32+Z29</f>
        <v>0</v>
      </c>
      <c r="AA32" s="340">
        <f t="shared" si="8"/>
        <v>0</v>
      </c>
      <c r="AB32" s="342">
        <f t="shared" si="13"/>
        <v>0</v>
      </c>
      <c r="AC32" s="100"/>
      <c r="AD32" s="97"/>
      <c r="AE32" s="97"/>
    </row>
    <row r="33" spans="1:31">
      <c r="A33" s="1"/>
      <c r="B33" s="5">
        <f t="shared" si="35"/>
        <v>43151</v>
      </c>
      <c r="C33" s="38">
        <f t="shared" ref="C33:C38" si="40">C32+1</f>
        <v>43151</v>
      </c>
      <c r="D33" s="7">
        <f t="shared" ca="1" si="1"/>
        <v>-13</v>
      </c>
      <c r="E33" s="114" t="s">
        <v>2</v>
      </c>
      <c r="F33" s="55"/>
      <c r="G33" s="56"/>
      <c r="H33" s="56"/>
      <c r="I33" s="200"/>
      <c r="J33" s="56"/>
      <c r="K33" s="204" t="str">
        <f>IF(R33=0,"",IF(L33="","",J33))</f>
        <v/>
      </c>
      <c r="L33" s="56"/>
      <c r="M33" s="56" t="str">
        <f t="shared" ref="M33:M38" si="41">IF(R33=0,"",IF(J33="","",L33))</f>
        <v/>
      </c>
      <c r="N33" s="324"/>
      <c r="O33" s="168">
        <f t="shared" si="3"/>
        <v>1758.8142493865487</v>
      </c>
      <c r="P33" s="339">
        <f t="shared" si="37"/>
        <v>49243.256997546196</v>
      </c>
      <c r="Q33" s="169">
        <f t="shared" si="4"/>
        <v>30.598341346932727</v>
      </c>
      <c r="R33" s="365">
        <f t="shared" ref="R33:R38" si="42">IF(R$2=3,H33+G33/1.0936133+F33/0.0006213712,IF(R$2=2,H33*1.0936133+G33+F33/0.0005681818,IF(R$2=1,H33*0.0005681818*1.0936133+G33*0.0005681818+F33,"")))</f>
        <v>0</v>
      </c>
      <c r="S33" s="369" t="str">
        <f t="shared" si="12"/>
        <v/>
      </c>
      <c r="T33" s="169"/>
      <c r="U33" s="169"/>
      <c r="V33" s="170" t="str">
        <f t="shared" si="38"/>
        <v/>
      </c>
      <c r="W33" s="170" t="str">
        <f t="shared" si="39"/>
        <v/>
      </c>
      <c r="X33" s="168">
        <f t="shared" ref="X33:Z38" si="43">F33+X32</f>
        <v>0</v>
      </c>
      <c r="Y33" s="168">
        <f t="shared" si="43"/>
        <v>0</v>
      </c>
      <c r="Z33" s="168">
        <f t="shared" si="43"/>
        <v>0</v>
      </c>
      <c r="AA33" s="340">
        <f t="shared" si="8"/>
        <v>0</v>
      </c>
      <c r="AB33" s="342">
        <f t="shared" si="13"/>
        <v>0</v>
      </c>
      <c r="AC33" s="100"/>
      <c r="AD33" s="97"/>
      <c r="AE33" s="97"/>
    </row>
    <row r="34" spans="1:31">
      <c r="A34" s="1"/>
      <c r="B34" s="5">
        <f t="shared" si="35"/>
        <v>43152</v>
      </c>
      <c r="C34" s="38">
        <f t="shared" si="40"/>
        <v>43152</v>
      </c>
      <c r="D34" s="7">
        <f t="shared" ca="1" si="1"/>
        <v>-14</v>
      </c>
      <c r="E34" s="114" t="s">
        <v>3</v>
      </c>
      <c r="F34" s="55"/>
      <c r="G34" s="56"/>
      <c r="H34" s="56"/>
      <c r="I34" s="200"/>
      <c r="J34" s="56"/>
      <c r="K34" s="204" t="str">
        <f t="shared" ref="K34:K38" si="44">IF(R34=0,"",IF(L34="","",J34))</f>
        <v/>
      </c>
      <c r="L34" s="56"/>
      <c r="M34" s="56" t="str">
        <f t="shared" si="41"/>
        <v/>
      </c>
      <c r="N34" s="324"/>
      <c r="O34" s="168">
        <f t="shared" si="3"/>
        <v>1758.8142493865487</v>
      </c>
      <c r="P34" s="339">
        <f t="shared" si="37"/>
        <v>49243.256997546196</v>
      </c>
      <c r="Q34" s="169">
        <f t="shared" si="4"/>
        <v>30.598341346932727</v>
      </c>
      <c r="R34" s="365">
        <f t="shared" si="42"/>
        <v>0</v>
      </c>
      <c r="S34" s="369" t="str">
        <f t="shared" si="12"/>
        <v/>
      </c>
      <c r="T34" s="169"/>
      <c r="U34" s="169"/>
      <c r="V34" s="170" t="str">
        <f t="shared" si="38"/>
        <v/>
      </c>
      <c r="W34" s="170" t="str">
        <f t="shared" si="39"/>
        <v/>
      </c>
      <c r="X34" s="168">
        <f t="shared" si="43"/>
        <v>0</v>
      </c>
      <c r="Y34" s="168">
        <f t="shared" si="43"/>
        <v>0</v>
      </c>
      <c r="Z34" s="168">
        <f t="shared" si="43"/>
        <v>0</v>
      </c>
      <c r="AA34" s="340">
        <f t="shared" si="8"/>
        <v>0</v>
      </c>
      <c r="AB34" s="342">
        <f t="shared" si="13"/>
        <v>0</v>
      </c>
      <c r="AC34" s="100"/>
      <c r="AD34" s="97"/>
      <c r="AE34" s="97"/>
    </row>
    <row r="35" spans="1:31">
      <c r="A35" s="1"/>
      <c r="B35" s="5">
        <f t="shared" si="35"/>
        <v>43153</v>
      </c>
      <c r="C35" s="38">
        <f t="shared" si="40"/>
        <v>43153</v>
      </c>
      <c r="D35" s="7">
        <f t="shared" ca="1" si="1"/>
        <v>-15</v>
      </c>
      <c r="E35" s="114" t="s">
        <v>4</v>
      </c>
      <c r="F35" s="55"/>
      <c r="G35" s="56"/>
      <c r="H35" s="56"/>
      <c r="I35" s="200"/>
      <c r="J35" s="56"/>
      <c r="K35" s="204" t="str">
        <f t="shared" si="44"/>
        <v/>
      </c>
      <c r="L35" s="56"/>
      <c r="M35" s="56" t="str">
        <f t="shared" si="41"/>
        <v/>
      </c>
      <c r="N35" s="324"/>
      <c r="O35" s="168">
        <f t="shared" si="3"/>
        <v>1758.8142493865487</v>
      </c>
      <c r="P35" s="339">
        <f t="shared" si="37"/>
        <v>49243.256997546196</v>
      </c>
      <c r="Q35" s="169">
        <f t="shared" si="4"/>
        <v>30.598341346932727</v>
      </c>
      <c r="R35" s="365">
        <f t="shared" si="42"/>
        <v>0</v>
      </c>
      <c r="S35" s="369" t="str">
        <f t="shared" si="12"/>
        <v/>
      </c>
      <c r="T35" s="169"/>
      <c r="U35" s="169"/>
      <c r="V35" s="170" t="str">
        <f t="shared" si="38"/>
        <v/>
      </c>
      <c r="W35" s="170" t="str">
        <f t="shared" si="39"/>
        <v/>
      </c>
      <c r="X35" s="168">
        <f t="shared" si="43"/>
        <v>0</v>
      </c>
      <c r="Y35" s="168">
        <f t="shared" si="43"/>
        <v>0</v>
      </c>
      <c r="Z35" s="168">
        <f t="shared" si="43"/>
        <v>0</v>
      </c>
      <c r="AA35" s="340">
        <f t="shared" si="8"/>
        <v>0</v>
      </c>
      <c r="AB35" s="342">
        <f t="shared" si="13"/>
        <v>0</v>
      </c>
      <c r="AC35" s="100"/>
      <c r="AD35" s="97"/>
      <c r="AE35" s="97"/>
    </row>
    <row r="36" spans="1:31">
      <c r="A36" s="1"/>
      <c r="B36" s="5">
        <f t="shared" si="35"/>
        <v>43154</v>
      </c>
      <c r="C36" s="38">
        <f t="shared" si="40"/>
        <v>43154</v>
      </c>
      <c r="D36" s="7">
        <f t="shared" ca="1" si="1"/>
        <v>-16</v>
      </c>
      <c r="E36" s="114" t="s">
        <v>5</v>
      </c>
      <c r="F36" s="55"/>
      <c r="G36" s="56"/>
      <c r="H36" s="56"/>
      <c r="I36" s="200"/>
      <c r="J36" s="56"/>
      <c r="K36" s="204" t="str">
        <f t="shared" si="44"/>
        <v/>
      </c>
      <c r="L36" s="56"/>
      <c r="M36" s="56" t="str">
        <f t="shared" si="41"/>
        <v/>
      </c>
      <c r="N36" s="324"/>
      <c r="O36" s="168">
        <f t="shared" si="3"/>
        <v>1758.8142493865487</v>
      </c>
      <c r="P36" s="339">
        <f t="shared" si="37"/>
        <v>49243.256997546196</v>
      </c>
      <c r="Q36" s="169">
        <f t="shared" si="4"/>
        <v>30.598341346932727</v>
      </c>
      <c r="R36" s="365">
        <f t="shared" si="42"/>
        <v>0</v>
      </c>
      <c r="S36" s="369" t="str">
        <f t="shared" si="12"/>
        <v/>
      </c>
      <c r="T36" s="169"/>
      <c r="U36" s="169"/>
      <c r="V36" s="170" t="str">
        <f t="shared" si="38"/>
        <v/>
      </c>
      <c r="W36" s="170" t="str">
        <f t="shared" si="39"/>
        <v/>
      </c>
      <c r="X36" s="168">
        <f t="shared" si="43"/>
        <v>0</v>
      </c>
      <c r="Y36" s="168">
        <f t="shared" si="43"/>
        <v>0</v>
      </c>
      <c r="Z36" s="168">
        <f t="shared" si="43"/>
        <v>0</v>
      </c>
      <c r="AA36" s="340">
        <f t="shared" si="8"/>
        <v>0</v>
      </c>
      <c r="AB36" s="342">
        <f t="shared" si="13"/>
        <v>0</v>
      </c>
      <c r="AC36" s="100"/>
      <c r="AD36" s="97"/>
      <c r="AE36" s="97"/>
    </row>
    <row r="37" spans="1:31">
      <c r="A37" s="1"/>
      <c r="B37" s="5">
        <f t="shared" si="35"/>
        <v>43155</v>
      </c>
      <c r="C37" s="38">
        <f t="shared" si="40"/>
        <v>43155</v>
      </c>
      <c r="D37" s="7">
        <f t="shared" ca="1" si="1"/>
        <v>-17</v>
      </c>
      <c r="E37" s="114" t="s">
        <v>6</v>
      </c>
      <c r="F37" s="55"/>
      <c r="G37" s="56"/>
      <c r="H37" s="56"/>
      <c r="I37" s="200"/>
      <c r="J37" s="56"/>
      <c r="K37" s="204" t="str">
        <f t="shared" si="44"/>
        <v/>
      </c>
      <c r="L37" s="56"/>
      <c r="M37" s="56" t="str">
        <f t="shared" si="41"/>
        <v/>
      </c>
      <c r="N37" s="324"/>
      <c r="O37" s="168">
        <f t="shared" si="3"/>
        <v>1758.8142493865487</v>
      </c>
      <c r="P37" s="339">
        <f t="shared" si="37"/>
        <v>49243.256997546196</v>
      </c>
      <c r="Q37" s="169">
        <f t="shared" si="4"/>
        <v>30.598341346932727</v>
      </c>
      <c r="R37" s="365">
        <f t="shared" si="42"/>
        <v>0</v>
      </c>
      <c r="S37" s="369" t="str">
        <f t="shared" si="12"/>
        <v/>
      </c>
      <c r="T37" s="169"/>
      <c r="U37" s="169"/>
      <c r="V37" s="170" t="str">
        <f t="shared" si="38"/>
        <v/>
      </c>
      <c r="W37" s="170" t="str">
        <f t="shared" si="39"/>
        <v/>
      </c>
      <c r="X37" s="168">
        <f t="shared" si="43"/>
        <v>0</v>
      </c>
      <c r="Y37" s="168">
        <f t="shared" si="43"/>
        <v>0</v>
      </c>
      <c r="Z37" s="168">
        <f t="shared" si="43"/>
        <v>0</v>
      </c>
      <c r="AA37" s="340">
        <f t="shared" si="8"/>
        <v>0</v>
      </c>
      <c r="AB37" s="342">
        <f t="shared" si="13"/>
        <v>0</v>
      </c>
      <c r="AC37" s="100"/>
      <c r="AD37" s="97"/>
      <c r="AE37" s="97"/>
    </row>
    <row r="38" spans="1:31" ht="16" thickBot="1">
      <c r="A38" s="1"/>
      <c r="B38" s="53">
        <f t="shared" si="35"/>
        <v>43156</v>
      </c>
      <c r="C38" s="41">
        <f t="shared" si="40"/>
        <v>43156</v>
      </c>
      <c r="D38" s="54">
        <f t="shared" ca="1" si="1"/>
        <v>-18</v>
      </c>
      <c r="E38" s="117" t="s">
        <v>7</v>
      </c>
      <c r="F38" s="55"/>
      <c r="G38" s="56"/>
      <c r="H38" s="56"/>
      <c r="I38" s="200"/>
      <c r="J38" s="56"/>
      <c r="K38" s="205" t="str">
        <f t="shared" si="44"/>
        <v/>
      </c>
      <c r="L38" s="56"/>
      <c r="M38" s="56" t="str">
        <f t="shared" si="41"/>
        <v/>
      </c>
      <c r="N38" s="329"/>
      <c r="O38" s="168">
        <f t="shared" si="3"/>
        <v>1758.8142493865487</v>
      </c>
      <c r="P38" s="339">
        <f t="shared" si="37"/>
        <v>49243.256997546196</v>
      </c>
      <c r="Q38" s="169">
        <f t="shared" si="4"/>
        <v>30.598341346932727</v>
      </c>
      <c r="R38" s="365">
        <f t="shared" si="42"/>
        <v>0</v>
      </c>
      <c r="S38" s="369" t="str">
        <f t="shared" si="12"/>
        <v/>
      </c>
      <c r="T38" s="169"/>
      <c r="U38" s="169"/>
      <c r="V38" s="170" t="str">
        <f t="shared" si="38"/>
        <v/>
      </c>
      <c r="W38" s="170" t="str">
        <f t="shared" si="39"/>
        <v/>
      </c>
      <c r="X38" s="168">
        <f t="shared" si="43"/>
        <v>0</v>
      </c>
      <c r="Y38" s="168">
        <f t="shared" si="43"/>
        <v>0</v>
      </c>
      <c r="Z38" s="168">
        <f t="shared" si="43"/>
        <v>0</v>
      </c>
      <c r="AA38" s="340">
        <f t="shared" si="8"/>
        <v>0</v>
      </c>
      <c r="AB38" s="342">
        <f t="shared" si="13"/>
        <v>0</v>
      </c>
      <c r="AC38" s="100"/>
      <c r="AD38" s="97"/>
      <c r="AE38" s="97"/>
    </row>
    <row r="39" spans="1:31" ht="16" thickTop="1">
      <c r="A39" s="29"/>
      <c r="B39" s="16"/>
      <c r="C39" s="42"/>
      <c r="D39" s="60">
        <f ca="1">TODAY()-C39</f>
        <v>43138</v>
      </c>
      <c r="E39" s="113" t="s">
        <v>76</v>
      </c>
      <c r="F39" s="59">
        <f ca="1">G39*0.000568181818</f>
        <v>-1.2427401132386871E-58</v>
      </c>
      <c r="G39" s="19">
        <f ca="1">H39*1.0936113</f>
        <v>-2.1872226000000002E-55</v>
      </c>
      <c r="H39" s="20">
        <f ca="1">IF(TODAY()&gt;=B32,(AA38-AA29)*1000,-2E-55)</f>
        <v>-2E-55</v>
      </c>
      <c r="I39" s="152"/>
      <c r="J39" s="218" t="s">
        <v>137</v>
      </c>
      <c r="K39" s="155"/>
      <c r="L39" s="219" t="s">
        <v>138</v>
      </c>
      <c r="M39" s="155"/>
      <c r="N39" s="331" t="s">
        <v>139</v>
      </c>
      <c r="O39" s="168" t="str">
        <f t="shared" si="3"/>
        <v/>
      </c>
      <c r="P39" s="339"/>
      <c r="Q39" s="169">
        <f t="shared" si="4"/>
        <v>0</v>
      </c>
      <c r="R39" s="366"/>
      <c r="S39" s="369" t="str">
        <f t="shared" si="12"/>
        <v/>
      </c>
      <c r="T39" s="350"/>
      <c r="U39" s="350"/>
      <c r="V39" s="350"/>
      <c r="W39" s="350"/>
      <c r="X39" s="171"/>
      <c r="Y39" s="171"/>
      <c r="Z39" s="171"/>
      <c r="AA39" s="340">
        <f t="shared" si="8"/>
        <v>0</v>
      </c>
      <c r="AB39" s="342">
        <f t="shared" si="13"/>
        <v>0</v>
      </c>
      <c r="AC39" s="100"/>
      <c r="AD39" s="97"/>
      <c r="AE39" s="97"/>
    </row>
    <row r="40" spans="1:31" ht="16" thickBot="1">
      <c r="A40" s="28"/>
      <c r="B40" s="17"/>
      <c r="C40" s="39"/>
      <c r="D40" s="61">
        <f ca="1">TODAY()-C40</f>
        <v>43138</v>
      </c>
      <c r="E40" s="116" t="s">
        <v>33</v>
      </c>
      <c r="F40" s="62">
        <f>G40*0.0005681818</f>
        <v>7.6496865246986605</v>
      </c>
      <c r="G40" s="63">
        <f>H40*1.0936113</f>
        <v>13463.448714300001</v>
      </c>
      <c r="H40" s="6">
        <f>INT(SUM($O32:$O38))</f>
        <v>12311</v>
      </c>
      <c r="I40" s="153"/>
      <c r="J40" s="156"/>
      <c r="K40" s="286"/>
      <c r="L40" s="217">
        <f>COUNT(S5:S51)-COUNT(V5:V51)</f>
        <v>0</v>
      </c>
      <c r="M40" s="157"/>
      <c r="N40" s="157"/>
      <c r="O40" s="168" t="str">
        <f t="shared" si="3"/>
        <v/>
      </c>
      <c r="P40" s="339"/>
      <c r="Q40" s="169">
        <f t="shared" si="4"/>
        <v>0</v>
      </c>
      <c r="R40" s="259"/>
      <c r="S40" s="369" t="str">
        <f t="shared" si="12"/>
        <v/>
      </c>
      <c r="T40" s="351"/>
      <c r="U40" s="351"/>
      <c r="V40" s="351"/>
      <c r="W40" s="351"/>
      <c r="X40" s="171"/>
      <c r="Y40" s="171"/>
      <c r="Z40" s="171"/>
      <c r="AA40" s="340">
        <f t="shared" si="8"/>
        <v>0</v>
      </c>
      <c r="AB40" s="342">
        <f t="shared" si="13"/>
        <v>0</v>
      </c>
      <c r="AC40" s="100"/>
      <c r="AD40" s="97"/>
      <c r="AE40" s="97"/>
    </row>
    <row r="41" spans="1:31" ht="16" thickTop="1">
      <c r="A41" s="1" t="s">
        <v>12</v>
      </c>
      <c r="B41" s="57">
        <f t="shared" ref="B41:B47" si="45">IF(B$3&lt;C41,0,C41)</f>
        <v>43157</v>
      </c>
      <c r="C41" s="40">
        <f>C38+1</f>
        <v>43157</v>
      </c>
      <c r="D41" s="22">
        <f t="shared" ca="1" si="1"/>
        <v>-19</v>
      </c>
      <c r="E41" s="118" t="str">
        <f>IF(B41=0,"","Monday")</f>
        <v>Monday</v>
      </c>
      <c r="F41" s="55"/>
      <c r="G41" s="56"/>
      <c r="H41" s="56"/>
      <c r="I41" s="200"/>
      <c r="J41" s="128"/>
      <c r="K41" s="287" t="str">
        <f t="shared" ref="K41" si="46">IF(R41=0,"",IF(L41="","",J41))</f>
        <v/>
      </c>
      <c r="L41" s="128"/>
      <c r="M41" s="56" t="str">
        <f>IF(R41=0,"",IF(J41="","",L41))</f>
        <v/>
      </c>
      <c r="N41" s="330"/>
      <c r="O41" s="168">
        <f t="shared" si="3"/>
        <v>1758.8142493865487</v>
      </c>
      <c r="P41" s="339">
        <f t="shared" ref="P41:P47" si="47">H$56</f>
        <v>49243.256997546196</v>
      </c>
      <c r="Q41" s="169">
        <f t="shared" si="4"/>
        <v>30.598341346932727</v>
      </c>
      <c r="R41" s="365">
        <f>IF(R$2=3,H41+G41/1.0936133+F41/0.0006213712,IF(R$2=2,H41*1.0936133+G41+F41/0.0005681818,IF(R$2=1,H41*0.0005681818*1.0936133+G41*0.0005681818+F41,"")))</f>
        <v>0</v>
      </c>
      <c r="S41" s="369" t="str">
        <f t="shared" si="12"/>
        <v/>
      </c>
      <c r="T41" s="169"/>
      <c r="U41" s="169"/>
      <c r="V41" s="170" t="str">
        <f t="shared" ref="V41:V47" si="48">IF(L41="","",IF(R41=0,"",IF(B41=0,"",IF($R$2=3,R41/L41*60/1000,IF($R$2=2,R41/L41*60/1760,IF($R$2=1,R41/L41*60,""))))))</f>
        <v/>
      </c>
      <c r="W41" s="170" t="str">
        <f t="shared" ref="W41:W47" si="49">IF(R41=0,"",IF(L41="","",V41*L41))</f>
        <v/>
      </c>
      <c r="X41" s="168">
        <f>F41+X38</f>
        <v>0</v>
      </c>
      <c r="Y41" s="168">
        <f>G41+Y38</f>
        <v>0</v>
      </c>
      <c r="Z41" s="168">
        <f>H41+Z38</f>
        <v>0</v>
      </c>
      <c r="AA41" s="340">
        <f t="shared" si="8"/>
        <v>0</v>
      </c>
      <c r="AB41" s="342">
        <f t="shared" si="13"/>
        <v>0</v>
      </c>
      <c r="AC41" s="100"/>
      <c r="AD41" s="97"/>
      <c r="AE41" s="97"/>
    </row>
    <row r="42" spans="1:31">
      <c r="A42" s="1"/>
      <c r="B42" s="5">
        <f t="shared" si="45"/>
        <v>43158</v>
      </c>
      <c r="C42" s="38">
        <f t="shared" ref="C42:C47" si="50">C41+1</f>
        <v>43158</v>
      </c>
      <c r="D42" s="7">
        <f t="shared" ca="1" si="1"/>
        <v>-20</v>
      </c>
      <c r="E42" s="114" t="str">
        <f>IF(B42=0,"","Tuesday")</f>
        <v>Tuesday</v>
      </c>
      <c r="F42" s="55"/>
      <c r="G42" s="56"/>
      <c r="H42" s="56"/>
      <c r="I42" s="200"/>
      <c r="J42" s="56"/>
      <c r="K42" s="204" t="str">
        <f>IF(R42=0,"",IF(L42="","",J42))</f>
        <v/>
      </c>
      <c r="L42" s="56"/>
      <c r="M42" s="56" t="str">
        <f t="shared" ref="M42:M47" si="51">IF(R42=0,"",IF(J42="","",L42))</f>
        <v/>
      </c>
      <c r="N42" s="324"/>
      <c r="O42" s="168">
        <f t="shared" si="3"/>
        <v>1758.8142493865487</v>
      </c>
      <c r="P42" s="339">
        <f t="shared" si="47"/>
        <v>49243.256997546196</v>
      </c>
      <c r="Q42" s="169">
        <f t="shared" si="4"/>
        <v>30.598341346932727</v>
      </c>
      <c r="R42" s="365">
        <f t="shared" ref="R42:R47" si="52">IF(R$2=3,H42+G42/1.0936133+F42/0.0006213712,IF(R$2=2,H42*1.0936133+G42+F42/0.0005681818,IF(R$2=1,H42*0.0005681818*1.0936133+G42*0.0005681818+F42,"")))</f>
        <v>0</v>
      </c>
      <c r="S42" s="369" t="str">
        <f t="shared" si="12"/>
        <v/>
      </c>
      <c r="T42" s="169"/>
      <c r="U42" s="169"/>
      <c r="V42" s="170" t="str">
        <f t="shared" si="48"/>
        <v/>
      </c>
      <c r="W42" s="170" t="str">
        <f t="shared" si="49"/>
        <v/>
      </c>
      <c r="X42" s="168">
        <f t="shared" ref="X42:Z47" si="53">F42+X41</f>
        <v>0</v>
      </c>
      <c r="Y42" s="168">
        <f t="shared" si="53"/>
        <v>0</v>
      </c>
      <c r="Z42" s="168">
        <f t="shared" si="53"/>
        <v>0</v>
      </c>
      <c r="AA42" s="340">
        <f t="shared" si="8"/>
        <v>0</v>
      </c>
      <c r="AB42" s="342">
        <f t="shared" si="13"/>
        <v>0</v>
      </c>
      <c r="AC42" s="100"/>
      <c r="AD42" s="97"/>
      <c r="AE42" s="97"/>
    </row>
    <row r="43" spans="1:31">
      <c r="A43" s="1"/>
      <c r="B43" s="5">
        <f t="shared" si="45"/>
        <v>43159</v>
      </c>
      <c r="C43" s="38">
        <f t="shared" si="50"/>
        <v>43159</v>
      </c>
      <c r="D43" s="7">
        <f t="shared" ca="1" si="1"/>
        <v>-21</v>
      </c>
      <c r="E43" s="114" t="str">
        <f>IF(B43=0,"","Wednesday")</f>
        <v>Wednesday</v>
      </c>
      <c r="F43" s="55"/>
      <c r="G43" s="56"/>
      <c r="H43" s="56"/>
      <c r="I43" s="200"/>
      <c r="J43" s="56"/>
      <c r="K43" s="204" t="str">
        <f t="shared" ref="K43:K47" si="54">IF(R43=0,"",IF(L43="","",J43))</f>
        <v/>
      </c>
      <c r="L43" s="56"/>
      <c r="M43" s="56" t="str">
        <f t="shared" si="51"/>
        <v/>
      </c>
      <c r="N43" s="324"/>
      <c r="O43" s="168">
        <f t="shared" si="3"/>
        <v>1758.8142493865487</v>
      </c>
      <c r="P43" s="339">
        <f t="shared" si="47"/>
        <v>49243.256997546196</v>
      </c>
      <c r="Q43" s="169">
        <f t="shared" si="4"/>
        <v>30.598341346932727</v>
      </c>
      <c r="R43" s="365">
        <f t="shared" si="52"/>
        <v>0</v>
      </c>
      <c r="S43" s="369" t="str">
        <f t="shared" si="12"/>
        <v/>
      </c>
      <c r="T43" s="169"/>
      <c r="U43" s="169"/>
      <c r="V43" s="170" t="str">
        <f t="shared" si="48"/>
        <v/>
      </c>
      <c r="W43" s="170" t="str">
        <f t="shared" si="49"/>
        <v/>
      </c>
      <c r="X43" s="168">
        <f t="shared" si="53"/>
        <v>0</v>
      </c>
      <c r="Y43" s="168">
        <f t="shared" si="53"/>
        <v>0</v>
      </c>
      <c r="Z43" s="168">
        <f t="shared" si="53"/>
        <v>0</v>
      </c>
      <c r="AA43" s="340">
        <f t="shared" si="8"/>
        <v>0</v>
      </c>
      <c r="AB43" s="342">
        <f t="shared" si="13"/>
        <v>0</v>
      </c>
      <c r="AC43" s="100"/>
      <c r="AD43" s="97"/>
      <c r="AE43" s="97"/>
    </row>
    <row r="44" spans="1:31">
      <c r="A44" s="1"/>
      <c r="B44" s="5">
        <f t="shared" si="45"/>
        <v>0</v>
      </c>
      <c r="C44" s="38">
        <f t="shared" si="50"/>
        <v>43160</v>
      </c>
      <c r="D44" s="7">
        <f t="shared" ca="1" si="1"/>
        <v>-22</v>
      </c>
      <c r="E44" s="114" t="str">
        <f>IF(B44=0,"","Thursday")</f>
        <v/>
      </c>
      <c r="F44" s="55"/>
      <c r="G44" s="56"/>
      <c r="H44" s="56"/>
      <c r="I44" s="200"/>
      <c r="J44" s="56"/>
      <c r="K44" s="204" t="str">
        <f t="shared" si="54"/>
        <v/>
      </c>
      <c r="L44" s="56"/>
      <c r="M44" s="56" t="str">
        <f t="shared" si="51"/>
        <v/>
      </c>
      <c r="N44" s="324"/>
      <c r="O44" s="168" t="str">
        <f t="shared" si="3"/>
        <v/>
      </c>
      <c r="P44" s="339">
        <f t="shared" si="47"/>
        <v>49243.256997546196</v>
      </c>
      <c r="Q44" s="169">
        <f t="shared" si="4"/>
        <v>30.598341346932727</v>
      </c>
      <c r="R44" s="365">
        <f t="shared" si="52"/>
        <v>0</v>
      </c>
      <c r="S44" s="369" t="str">
        <f t="shared" si="12"/>
        <v/>
      </c>
      <c r="T44" s="169"/>
      <c r="U44" s="169"/>
      <c r="V44" s="170" t="str">
        <f t="shared" si="48"/>
        <v/>
      </c>
      <c r="W44" s="170" t="str">
        <f t="shared" si="49"/>
        <v/>
      </c>
      <c r="X44" s="168">
        <f t="shared" si="53"/>
        <v>0</v>
      </c>
      <c r="Y44" s="168">
        <f t="shared" si="53"/>
        <v>0</v>
      </c>
      <c r="Z44" s="168">
        <f t="shared" si="53"/>
        <v>0</v>
      </c>
      <c r="AA44" s="340">
        <f t="shared" si="8"/>
        <v>0</v>
      </c>
      <c r="AB44" s="342">
        <f t="shared" si="13"/>
        <v>0</v>
      </c>
      <c r="AC44" s="174"/>
      <c r="AD44" s="173"/>
      <c r="AE44" s="97"/>
    </row>
    <row r="45" spans="1:31">
      <c r="A45" s="1"/>
      <c r="B45" s="5">
        <f t="shared" si="45"/>
        <v>0</v>
      </c>
      <c r="C45" s="38">
        <f t="shared" si="50"/>
        <v>43161</v>
      </c>
      <c r="D45" s="7">
        <f t="shared" ca="1" si="1"/>
        <v>-23</v>
      </c>
      <c r="E45" s="114" t="str">
        <f>IF(B45=0,"","Friday")</f>
        <v/>
      </c>
      <c r="F45" s="55"/>
      <c r="G45" s="56"/>
      <c r="H45" s="56"/>
      <c r="I45" s="200"/>
      <c r="J45" s="56"/>
      <c r="K45" s="204" t="str">
        <f t="shared" si="54"/>
        <v/>
      </c>
      <c r="L45" s="56"/>
      <c r="M45" s="56" t="str">
        <f t="shared" si="51"/>
        <v/>
      </c>
      <c r="N45" s="324"/>
      <c r="O45" s="168" t="str">
        <f t="shared" si="3"/>
        <v/>
      </c>
      <c r="P45" s="339">
        <f t="shared" si="47"/>
        <v>49243.256997546196</v>
      </c>
      <c r="Q45" s="169">
        <f t="shared" si="4"/>
        <v>30.598341346932727</v>
      </c>
      <c r="R45" s="365">
        <f t="shared" si="52"/>
        <v>0</v>
      </c>
      <c r="S45" s="369" t="str">
        <f t="shared" si="12"/>
        <v/>
      </c>
      <c r="T45" s="169"/>
      <c r="U45" s="169"/>
      <c r="V45" s="170" t="str">
        <f t="shared" si="48"/>
        <v/>
      </c>
      <c r="W45" s="170" t="str">
        <f t="shared" si="49"/>
        <v/>
      </c>
      <c r="X45" s="168">
        <f t="shared" si="53"/>
        <v>0</v>
      </c>
      <c r="Y45" s="168">
        <f t="shared" si="53"/>
        <v>0</v>
      </c>
      <c r="Z45" s="168">
        <f t="shared" si="53"/>
        <v>0</v>
      </c>
      <c r="AA45" s="340">
        <f t="shared" si="8"/>
        <v>0</v>
      </c>
      <c r="AB45" s="342">
        <f t="shared" si="13"/>
        <v>0</v>
      </c>
      <c r="AC45" s="100"/>
      <c r="AD45" s="97"/>
      <c r="AE45" s="97"/>
    </row>
    <row r="46" spans="1:31">
      <c r="A46" s="1"/>
      <c r="B46" s="5">
        <f t="shared" si="45"/>
        <v>0</v>
      </c>
      <c r="C46" s="38">
        <f t="shared" si="50"/>
        <v>43162</v>
      </c>
      <c r="D46" s="7">
        <f t="shared" ca="1" si="1"/>
        <v>-24</v>
      </c>
      <c r="E46" s="114" t="str">
        <f>IF(B46=0,"","Saturday")</f>
        <v/>
      </c>
      <c r="F46" s="55"/>
      <c r="G46" s="56"/>
      <c r="H46" s="56"/>
      <c r="I46" s="200"/>
      <c r="J46" s="56"/>
      <c r="K46" s="204" t="str">
        <f t="shared" si="54"/>
        <v/>
      </c>
      <c r="L46" s="56"/>
      <c r="M46" s="56" t="str">
        <f t="shared" si="51"/>
        <v/>
      </c>
      <c r="N46" s="324"/>
      <c r="O46" s="168" t="str">
        <f t="shared" si="3"/>
        <v/>
      </c>
      <c r="P46" s="339">
        <f t="shared" si="47"/>
        <v>49243.256997546196</v>
      </c>
      <c r="Q46" s="169">
        <f t="shared" si="4"/>
        <v>30.598341346932727</v>
      </c>
      <c r="R46" s="365">
        <f t="shared" si="52"/>
        <v>0</v>
      </c>
      <c r="S46" s="369" t="str">
        <f t="shared" si="12"/>
        <v/>
      </c>
      <c r="T46" s="169"/>
      <c r="U46" s="169"/>
      <c r="V46" s="170" t="str">
        <f t="shared" si="48"/>
        <v/>
      </c>
      <c r="W46" s="170" t="str">
        <f t="shared" si="49"/>
        <v/>
      </c>
      <c r="X46" s="168">
        <f t="shared" si="53"/>
        <v>0</v>
      </c>
      <c r="Y46" s="168">
        <f t="shared" si="53"/>
        <v>0</v>
      </c>
      <c r="Z46" s="168">
        <f t="shared" si="53"/>
        <v>0</v>
      </c>
      <c r="AA46" s="340">
        <f t="shared" si="8"/>
        <v>0</v>
      </c>
      <c r="AB46" s="342">
        <f t="shared" si="13"/>
        <v>0</v>
      </c>
      <c r="AC46" s="100"/>
      <c r="AD46" s="97"/>
      <c r="AE46" s="97"/>
    </row>
    <row r="47" spans="1:31" ht="16" thickBot="1">
      <c r="A47" s="1"/>
      <c r="B47" s="53">
        <f t="shared" si="45"/>
        <v>0</v>
      </c>
      <c r="C47" s="41">
        <f t="shared" si="50"/>
        <v>43163</v>
      </c>
      <c r="D47" s="54">
        <f t="shared" ca="1" si="1"/>
        <v>-25</v>
      </c>
      <c r="E47" s="117" t="str">
        <f>IF(B47=0,"","Sunday")</f>
        <v/>
      </c>
      <c r="F47" s="55"/>
      <c r="G47" s="56"/>
      <c r="H47" s="56"/>
      <c r="I47" s="200"/>
      <c r="J47" s="56"/>
      <c r="K47" s="205" t="str">
        <f t="shared" si="54"/>
        <v/>
      </c>
      <c r="L47" s="56"/>
      <c r="M47" s="56" t="str">
        <f t="shared" si="51"/>
        <v/>
      </c>
      <c r="N47" s="329"/>
      <c r="O47" s="168" t="str">
        <f t="shared" si="3"/>
        <v/>
      </c>
      <c r="P47" s="339">
        <f t="shared" si="47"/>
        <v>49243.256997546196</v>
      </c>
      <c r="Q47" s="169">
        <f t="shared" si="4"/>
        <v>30.598341346932727</v>
      </c>
      <c r="R47" s="365">
        <f t="shared" si="52"/>
        <v>0</v>
      </c>
      <c r="S47" s="369" t="str">
        <f t="shared" si="12"/>
        <v/>
      </c>
      <c r="T47" s="169"/>
      <c r="U47" s="169"/>
      <c r="V47" s="170" t="str">
        <f t="shared" si="48"/>
        <v/>
      </c>
      <c r="W47" s="170" t="str">
        <f t="shared" si="49"/>
        <v/>
      </c>
      <c r="X47" s="168">
        <f t="shared" si="53"/>
        <v>0</v>
      </c>
      <c r="Y47" s="168">
        <f t="shared" si="53"/>
        <v>0</v>
      </c>
      <c r="Z47" s="168">
        <f t="shared" si="53"/>
        <v>0</v>
      </c>
      <c r="AA47" s="340">
        <f t="shared" si="8"/>
        <v>0</v>
      </c>
      <c r="AB47" s="342">
        <f t="shared" si="13"/>
        <v>0</v>
      </c>
      <c r="AC47" s="100"/>
      <c r="AD47" s="97"/>
      <c r="AE47" s="97"/>
    </row>
    <row r="48" spans="1:31" ht="16" thickTop="1">
      <c r="A48" s="29"/>
      <c r="B48" s="16"/>
      <c r="C48" s="42"/>
      <c r="D48" s="60">
        <f ca="1">TODAY()-C48</f>
        <v>43138</v>
      </c>
      <c r="E48" s="113" t="s">
        <v>76</v>
      </c>
      <c r="F48" s="59">
        <f ca="1">G48*0.000568181818</f>
        <v>-1.2427401132386871E-58</v>
      </c>
      <c r="G48" s="19">
        <f ca="1">H48*1.0936113</f>
        <v>-2.1872226000000002E-55</v>
      </c>
      <c r="H48" s="20">
        <f ca="1">IF(SUM(B41:B47)=0,-1E-55,IF(TODAY()&gt;=B$41,(AA47-AA38)*1000,-2E-55))</f>
        <v>-2E-55</v>
      </c>
      <c r="I48" s="152"/>
      <c r="J48" s="432" t="s">
        <v>121</v>
      </c>
      <c r="K48" s="456"/>
      <c r="L48" s="456"/>
      <c r="M48" s="457"/>
      <c r="N48" s="457"/>
      <c r="O48" s="168" t="str">
        <f t="shared" si="3"/>
        <v/>
      </c>
      <c r="P48" s="239"/>
      <c r="Q48" s="169">
        <f t="shared" si="4"/>
        <v>0</v>
      </c>
      <c r="R48" s="366"/>
      <c r="S48" s="369" t="str">
        <f t="shared" si="12"/>
        <v/>
      </c>
      <c r="T48" s="350"/>
      <c r="U48" s="350"/>
      <c r="V48" s="350"/>
      <c r="W48" s="350"/>
      <c r="X48" s="168"/>
      <c r="Y48" s="168" t="str">
        <f>IF(A48=0,"",G48+Y36)</f>
        <v/>
      </c>
      <c r="Z48" s="168" t="str">
        <f>IF(B48=0,"",H48+Z36)</f>
        <v/>
      </c>
      <c r="AA48" s="340"/>
      <c r="AB48" s="342">
        <f t="shared" si="13"/>
        <v>0</v>
      </c>
      <c r="AC48" s="100"/>
      <c r="AD48" s="97"/>
      <c r="AE48" s="97"/>
    </row>
    <row r="49" spans="1:54" ht="19" thickBot="1">
      <c r="A49" s="28"/>
      <c r="B49" s="17"/>
      <c r="C49" s="39"/>
      <c r="D49" s="61">
        <f ca="1">TODAY()-C49</f>
        <v>43138</v>
      </c>
      <c r="E49" s="116" t="s">
        <v>33</v>
      </c>
      <c r="F49" s="62">
        <f>G49*0.0005681818</f>
        <v>3.2783483148655779</v>
      </c>
      <c r="G49" s="63">
        <f>H49*1.0936113</f>
        <v>5769.8932187999999</v>
      </c>
      <c r="H49" s="6">
        <f>INT(SUM($O41:$O47))</f>
        <v>5276</v>
      </c>
      <c r="I49" s="153"/>
      <c r="J49" s="434" t="str">
        <f>IF(R$2=1,"MILES",IF(R$2=2,"YARDS",IF(R$2=3,"METRES","????")))</f>
        <v>MILES</v>
      </c>
      <c r="K49" s="440"/>
      <c r="L49" s="441"/>
      <c r="M49" s="442"/>
      <c r="N49" s="442"/>
      <c r="O49" s="168" t="str">
        <f t="shared" si="3"/>
        <v/>
      </c>
      <c r="P49" s="171"/>
      <c r="Q49" s="169">
        <f t="shared" si="4"/>
        <v>0</v>
      </c>
      <c r="R49" s="259"/>
      <c r="S49" s="369" t="str">
        <f t="shared" si="12"/>
        <v/>
      </c>
      <c r="T49" s="351"/>
      <c r="U49" s="351"/>
      <c r="V49" s="351"/>
      <c r="W49" s="351"/>
      <c r="X49" s="168"/>
      <c r="Y49" s="168" t="str">
        <f>IF(A49=0,"",G49+Y37)</f>
        <v/>
      </c>
      <c r="Z49" s="168" t="str">
        <f>IF(B49=0,"",H49+Z37)</f>
        <v/>
      </c>
      <c r="AA49" s="340"/>
      <c r="AB49" s="342">
        <f t="shared" si="13"/>
        <v>0</v>
      </c>
      <c r="AC49" s="171"/>
      <c r="AD49" s="172"/>
      <c r="AE49" s="172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</row>
    <row r="50" spans="1:54" ht="16" thickTop="1">
      <c r="A50" s="1" t="s">
        <v>22</v>
      </c>
      <c r="B50" s="57">
        <f t="shared" ref="B50:B51" si="55">IF(B$3&lt;C50,0,C50)</f>
        <v>0</v>
      </c>
      <c r="C50" s="40">
        <f>C47+1</f>
        <v>43164</v>
      </c>
      <c r="D50" s="22">
        <f t="shared" ca="1" si="1"/>
        <v>-26</v>
      </c>
      <c r="E50" s="118" t="str">
        <f>IF(B50=0,"","Monday")</f>
        <v/>
      </c>
      <c r="F50" s="55"/>
      <c r="G50" s="56"/>
      <c r="H50" s="56"/>
      <c r="I50" s="200"/>
      <c r="J50" s="128"/>
      <c r="K50" s="287" t="str">
        <f t="shared" ref="K50" si="56">IF(R50=0,"",IF(L50="","",J50))</f>
        <v/>
      </c>
      <c r="L50" s="128"/>
      <c r="M50" s="56" t="str">
        <f>IF(R50=0,"",IF(J50="","",L50))</f>
        <v/>
      </c>
      <c r="N50" s="330"/>
      <c r="O50" s="168" t="str">
        <f t="shared" si="3"/>
        <v/>
      </c>
      <c r="P50" s="339">
        <f>H$56</f>
        <v>49243.256997546196</v>
      </c>
      <c r="Q50" s="169">
        <f t="shared" si="4"/>
        <v>30.598341346932727</v>
      </c>
      <c r="R50" s="365">
        <f>IF(R$2=3,H50+G50/1.0936133+F50/0.0006213712,IF(R$2=2,H50*1.0936133+G50+F50/0.0005681818,IF(R$2=1,H50*0.0005681818*1.0936133+G50*0.0005681818+F50,"")))</f>
        <v>0</v>
      </c>
      <c r="S50" s="369" t="str">
        <f t="shared" si="12"/>
        <v/>
      </c>
      <c r="T50" s="169"/>
      <c r="U50" s="169"/>
      <c r="V50" s="170" t="str">
        <f>IF(L50="","",IF(R50=0,"",IF(B50=0,"",IF($R$2=3,R50/L50*60/1000,IF($R$2=2,R50/L50*60/1760,IF($R$2=1,R50/L50*60,""))))))</f>
        <v/>
      </c>
      <c r="W50" s="170" t="str">
        <f>IF(R50=0,"",IF(L50="","",V50*L50))</f>
        <v/>
      </c>
      <c r="X50" s="168">
        <f>F50+X47</f>
        <v>0</v>
      </c>
      <c r="Y50" s="168">
        <f>G50+Y47</f>
        <v>0</v>
      </c>
      <c r="Z50" s="168">
        <f>H50+Z47</f>
        <v>0</v>
      </c>
      <c r="AA50" s="340">
        <f t="shared" si="8"/>
        <v>0</v>
      </c>
      <c r="AB50" s="342">
        <f t="shared" si="13"/>
        <v>0</v>
      </c>
      <c r="AC50" s="100"/>
      <c r="AD50" s="97"/>
      <c r="AE50" s="97"/>
    </row>
    <row r="51" spans="1:54" ht="16" thickBot="1">
      <c r="A51" s="1"/>
      <c r="B51" s="5">
        <f t="shared" si="55"/>
        <v>0</v>
      </c>
      <c r="C51" s="38">
        <f t="shared" ref="C51" si="57">C50+1</f>
        <v>43165</v>
      </c>
      <c r="D51" s="7">
        <f t="shared" ca="1" si="1"/>
        <v>-27</v>
      </c>
      <c r="E51" s="114" t="str">
        <f>IF(B51=0,"","Tuesday")</f>
        <v/>
      </c>
      <c r="F51" s="55"/>
      <c r="G51" s="56"/>
      <c r="H51" s="56"/>
      <c r="I51" s="200"/>
      <c r="J51" s="56"/>
      <c r="K51" s="204" t="str">
        <f>IF(R51=0,"",IF(L51="","",J51))</f>
        <v/>
      </c>
      <c r="L51" s="56"/>
      <c r="M51" s="56" t="str">
        <f t="shared" ref="M51" si="58">IF(R51=0,"",IF(J51="","",L51))</f>
        <v/>
      </c>
      <c r="N51" s="329"/>
      <c r="O51" s="168" t="str">
        <f t="shared" si="3"/>
        <v/>
      </c>
      <c r="P51" s="339">
        <f>H$56</f>
        <v>49243.256997546196</v>
      </c>
      <c r="Q51" s="169">
        <f t="shared" si="4"/>
        <v>30.598341346932727</v>
      </c>
      <c r="R51" s="365">
        <f>IF(R$2=3,H51+G51/1.0936133+F51/0.0006213712,IF(R$2=2,H51*1.0936133+G51+F51/0.0005681818,IF(R$2=1,H51*0.0005681818*1.0936133+G51*0.0005681818+F51,"")))</f>
        <v>0</v>
      </c>
      <c r="S51" s="369" t="str">
        <f t="shared" si="12"/>
        <v/>
      </c>
      <c r="T51" s="169"/>
      <c r="U51" s="169"/>
      <c r="V51" s="170" t="str">
        <f>IF(L51="","",IF(R51=0,"",IF(B51=0,"",IF($R$2=3,R51/L51*60/1000,IF($R$2=2,R51/L51*60/1760,IF($R$2=1,R51/L51*60,""))))))</f>
        <v/>
      </c>
      <c r="W51" s="170" t="str">
        <f>IF(R51=0,"",IF(L51="","",V51*L51))</f>
        <v/>
      </c>
      <c r="X51" s="168">
        <f>F51+X50</f>
        <v>0</v>
      </c>
      <c r="Y51" s="168">
        <f>G51+Y50</f>
        <v>0</v>
      </c>
      <c r="Z51" s="168">
        <f>H51+Z50</f>
        <v>0</v>
      </c>
      <c r="AA51" s="340">
        <f t="shared" si="8"/>
        <v>0</v>
      </c>
      <c r="AB51" s="342">
        <f t="shared" si="13"/>
        <v>0</v>
      </c>
      <c r="AC51" s="100"/>
      <c r="AD51" s="97"/>
      <c r="AE51" s="97"/>
    </row>
    <row r="52" spans="1:54" ht="17" thickTop="1" thickBot="1">
      <c r="A52" s="29"/>
      <c r="B52" s="16"/>
      <c r="C52" s="42"/>
      <c r="D52" s="60"/>
      <c r="E52" s="113" t="s">
        <v>76</v>
      </c>
      <c r="F52" s="59">
        <f ca="1">G52*0.000568181818</f>
        <v>-6.2137005661934355E-59</v>
      </c>
      <c r="G52" s="19">
        <f ca="1">H52*1.0936113</f>
        <v>-1.0936113000000001E-55</v>
      </c>
      <c r="H52" s="129">
        <f ca="1">IF(SUM(B50:B51)=0,-1E-55,IF(TODAY()&gt;=B50,(AA51-AA47)*1000,-2E-55))</f>
        <v>-9.9999999999999999E-56</v>
      </c>
      <c r="I52" s="137"/>
      <c r="J52" s="422" t="s">
        <v>120</v>
      </c>
      <c r="K52" s="423"/>
      <c r="L52" s="423"/>
      <c r="M52" s="374"/>
      <c r="N52" s="332" t="str">
        <f>IF(R$2=1,"Dist (miles)",IF(R$2=2,"Dist (yds)",IF(R$2=3,"Dist (km)","????")))</f>
        <v>Dist (miles)</v>
      </c>
      <c r="O52" s="168"/>
      <c r="P52" s="171" t="s">
        <v>1</v>
      </c>
      <c r="Q52" s="171" t="s">
        <v>2</v>
      </c>
      <c r="R52" s="171" t="s">
        <v>3</v>
      </c>
      <c r="S52" s="171" t="s">
        <v>4</v>
      </c>
      <c r="T52" s="171" t="s">
        <v>5</v>
      </c>
      <c r="U52" s="171" t="s">
        <v>6</v>
      </c>
      <c r="V52" s="171" t="s">
        <v>7</v>
      </c>
      <c r="W52" s="168"/>
      <c r="X52" s="168"/>
      <c r="Y52" s="168"/>
      <c r="Z52" s="340"/>
      <c r="AA52" s="342"/>
      <c r="AB52" s="100"/>
      <c r="AC52" s="100"/>
      <c r="AD52" s="97"/>
    </row>
    <row r="53" spans="1:54" ht="16" thickBot="1">
      <c r="A53" s="28"/>
      <c r="B53" s="17"/>
      <c r="C53" s="39"/>
      <c r="D53" s="61"/>
      <c r="E53" s="116" t="s">
        <v>33</v>
      </c>
      <c r="F53" s="62">
        <f>G53*0.0005681818</f>
        <v>-6.2137003693434006E-59</v>
      </c>
      <c r="G53" s="63">
        <f>H53*1.0936113</f>
        <v>-1.0936113000000001E-55</v>
      </c>
      <c r="H53" s="131">
        <f>IF(SUM($O50:$O51)=0,-1E-55,SUM($O50:$O51))</f>
        <v>-9.9999999999999999E-56</v>
      </c>
      <c r="I53" s="136"/>
      <c r="J53" s="158" t="str">
        <f>'MY STATS'!AF44</f>
        <v/>
      </c>
      <c r="K53" s="159" t="str">
        <f>IF(J53="","x",J53)</f>
        <v>x</v>
      </c>
      <c r="L53" s="206" t="str">
        <f>IF(J53="","",SUMIF(K$5:K$51,K53,M$5:M$51)/1440)</f>
        <v/>
      </c>
      <c r="M53" s="207" t="str">
        <f>IF(J53="","",IF('MY STATS'!$A$15=3,SUMIF(K$5:K$51,J53,R$5:R$51)/1000,SUMIF(K$5:K$51,J53,R$5:R$51)))</f>
        <v/>
      </c>
      <c r="N53" s="333" t="str">
        <f>IF(J53="","",IF('MY STATS'!$A$15=3,SUMIF(J$5:J$51,J53,R$5:R$51)/1000,SUMIF(J$5:J$51,J53,R$5:R$51)))</f>
        <v/>
      </c>
      <c r="O53" s="314" t="s">
        <v>58</v>
      </c>
      <c r="P53" s="171">
        <f t="shared" ref="P53:V53" si="59">COUNTIFS($E$5:$E$51,P52)</f>
        <v>4</v>
      </c>
      <c r="Q53" s="171">
        <f t="shared" si="59"/>
        <v>4</v>
      </c>
      <c r="R53" s="171">
        <f t="shared" si="59"/>
        <v>4</v>
      </c>
      <c r="S53" s="171">
        <f t="shared" si="59"/>
        <v>4</v>
      </c>
      <c r="T53" s="171">
        <f t="shared" si="59"/>
        <v>4</v>
      </c>
      <c r="U53" s="171">
        <f t="shared" si="59"/>
        <v>4</v>
      </c>
      <c r="V53" s="171">
        <f t="shared" si="59"/>
        <v>4</v>
      </c>
      <c r="W53" s="168"/>
      <c r="X53" s="168"/>
      <c r="Y53" s="168"/>
      <c r="Z53" s="340"/>
      <c r="AA53" s="342"/>
      <c r="AB53" s="100"/>
      <c r="AC53" s="174"/>
      <c r="AD53" s="173"/>
    </row>
    <row r="54" spans="1:54" ht="17" thickTop="1" thickBot="1">
      <c r="A54" s="11"/>
      <c r="B54" s="11"/>
      <c r="C54" s="11"/>
      <c r="D54" s="11"/>
      <c r="E54" s="11"/>
      <c r="F54" s="11" t="s">
        <v>34</v>
      </c>
      <c r="G54" s="11" t="s">
        <v>35</v>
      </c>
      <c r="H54" s="11" t="s">
        <v>37</v>
      </c>
      <c r="I54" s="135"/>
      <c r="J54" s="160" t="str">
        <f>'MY STATS'!AG44</f>
        <v/>
      </c>
      <c r="K54" s="161" t="str">
        <f t="shared" ref="K54:K59" si="60">IF(J54="","x",J54)</f>
        <v>x</v>
      </c>
      <c r="L54" s="208" t="str">
        <f>IF(J54="","",SUMIF(K$5:K$51,K54,M$5:M$51)/1440)</f>
        <v/>
      </c>
      <c r="M54" s="209" t="str">
        <f>IF(J54="","",IF('MY STATS'!$A$15=3,SUMIF(K$5:K$51,J54,R$5:R$51)/1000,SUMIF(K$5:K$51,J54,R$5:R$51)))</f>
        <v/>
      </c>
      <c r="N54" s="334" t="str">
        <f>IF(J54="","",IF('MY STATS'!$A$15=3,SUMIF(J$5:J$51,J54,R$5:R$51)/1000,SUMIF(J$5:J$51,J54,R$5:R$51)))</f>
        <v/>
      </c>
      <c r="O54" s="314" t="s">
        <v>57</v>
      </c>
      <c r="P54" s="171">
        <f t="shared" ref="P54:V54" ca="1" si="61">COUNTIFS($D$5:$D$51,"&gt;-1",$E$5:$E$51,P52)</f>
        <v>1</v>
      </c>
      <c r="Q54" s="171">
        <f t="shared" ca="1" si="61"/>
        <v>1</v>
      </c>
      <c r="R54" s="171">
        <f t="shared" ca="1" si="61"/>
        <v>1</v>
      </c>
      <c r="S54" s="171">
        <f t="shared" ca="1" si="61"/>
        <v>1</v>
      </c>
      <c r="T54" s="171">
        <f t="shared" ca="1" si="61"/>
        <v>1</v>
      </c>
      <c r="U54" s="171">
        <f t="shared" ca="1" si="61"/>
        <v>1</v>
      </c>
      <c r="V54" s="171">
        <f t="shared" ca="1" si="61"/>
        <v>1</v>
      </c>
      <c r="W54" s="168"/>
      <c r="X54" s="168"/>
      <c r="Y54" s="168"/>
      <c r="Z54" s="340"/>
      <c r="AA54" s="342"/>
      <c r="AB54" s="100"/>
      <c r="AC54" s="100"/>
      <c r="AD54" s="97"/>
    </row>
    <row r="55" spans="1:54" ht="16" thickTop="1">
      <c r="A55" s="30"/>
      <c r="B55" s="58"/>
      <c r="C55" s="43"/>
      <c r="D55" s="43"/>
      <c r="E55" s="18" t="s">
        <v>36</v>
      </c>
      <c r="F55" s="88">
        <f>G55*0.000568181818</f>
        <v>0</v>
      </c>
      <c r="G55" s="89">
        <f>H55*1.0936113</f>
        <v>0</v>
      </c>
      <c r="H55" s="132">
        <f>AA$51*1000</f>
        <v>0</v>
      </c>
      <c r="I55" s="138"/>
      <c r="J55" s="160" t="str">
        <f>'MY STATS'!AH44</f>
        <v/>
      </c>
      <c r="K55" s="161" t="str">
        <f t="shared" si="60"/>
        <v>x</v>
      </c>
      <c r="L55" s="208" t="str">
        <f>IF(J55="","",SUMIF(K$5:K$51,K55,M$5:M$51)/1440)</f>
        <v/>
      </c>
      <c r="M55" s="209" t="str">
        <f>IF(J55="","",IF('MY STATS'!$A$15=3,SUMIF(K$5:K$51,J55,R$5:R$51)/1000,SUMIF(K$5:K$51,J55,R$5:R$51)))</f>
        <v/>
      </c>
      <c r="N55" s="334" t="str">
        <f>IF(J55="","",IF('MY STATS'!$A$15=3,SUMIF(J$5:J$51,J55,R$5:R$51)/1000,SUMIF(J$5:J$51,J55,R$5:R$51)))</f>
        <v/>
      </c>
      <c r="O55" s="314" t="s">
        <v>80</v>
      </c>
      <c r="P55" s="171">
        <f t="shared" ref="P55:V55" si="62">COUNTIFS($E$5:$E$51,P52,$R$5:$R$51,"&gt;0")</f>
        <v>0</v>
      </c>
      <c r="Q55" s="171">
        <f t="shared" si="62"/>
        <v>0</v>
      </c>
      <c r="R55" s="171">
        <f t="shared" si="62"/>
        <v>0</v>
      </c>
      <c r="S55" s="171">
        <f t="shared" si="62"/>
        <v>0</v>
      </c>
      <c r="T55" s="171">
        <f t="shared" si="62"/>
        <v>0</v>
      </c>
      <c r="U55" s="171">
        <f t="shared" si="62"/>
        <v>0</v>
      </c>
      <c r="V55" s="171">
        <f t="shared" si="62"/>
        <v>0</v>
      </c>
      <c r="W55" s="168"/>
      <c r="X55" s="168"/>
      <c r="Y55" s="168"/>
      <c r="Z55" s="340"/>
      <c r="AA55" s="342"/>
      <c r="AB55" s="100"/>
      <c r="AC55" s="100"/>
      <c r="AD55" s="97"/>
    </row>
    <row r="56" spans="1:54" ht="16" thickBot="1">
      <c r="A56" s="31"/>
      <c r="B56" s="44"/>
      <c r="C56" s="44"/>
      <c r="D56" s="44"/>
      <c r="E56" s="21" t="s">
        <v>51</v>
      </c>
      <c r="F56" s="47">
        <f>G56*0.000568181818</f>
        <v>30.598285388686165</v>
      </c>
      <c r="G56" s="48">
        <f>H56*1.0936113</f>
        <v>53852.982301320597</v>
      </c>
      <c r="H56" s="133">
        <f>SUM(H$53,H40,H31,H22,H49,H13)-1</f>
        <v>49243.256997546196</v>
      </c>
      <c r="I56" s="139"/>
      <c r="J56" s="160" t="str">
        <f>'MY STATS'!AI44</f>
        <v/>
      </c>
      <c r="K56" s="161" t="str">
        <f t="shared" si="60"/>
        <v>x</v>
      </c>
      <c r="L56" s="208" t="str">
        <f>IF(J56="","",SUMIF(K$5:K$51,K56,M$5:M$51)/1440)</f>
        <v/>
      </c>
      <c r="M56" s="209" t="str">
        <f>IF(J56="","",IF('MY STATS'!$A$15=3,SUMIF(K$5:K$51,J56,R$5:R$51)/1000,SUMIF(K$5:K$51,J56,R$5:R$51)))</f>
        <v/>
      </c>
      <c r="N56" s="334" t="str">
        <f>IF(J56="","",IF('MY STATS'!$A$15=3,SUMIF(J$5:J$51,J56,R$5:R$51)/1000,SUMIF(J$5:J$51,J56,R$5:R$51)))</f>
        <v/>
      </c>
      <c r="O56" s="314" t="s">
        <v>136</v>
      </c>
      <c r="P56" s="171"/>
      <c r="Q56" s="171"/>
      <c r="R56" s="171"/>
      <c r="S56" s="171"/>
      <c r="T56" s="171"/>
      <c r="U56" s="171"/>
      <c r="V56" s="171"/>
      <c r="W56" s="168"/>
      <c r="X56" s="168"/>
      <c r="Y56" s="168"/>
      <c r="Z56" s="340"/>
      <c r="AA56" s="342"/>
      <c r="AB56" s="100"/>
      <c r="AC56" s="100"/>
      <c r="AD56" s="97"/>
      <c r="AF56" s="15"/>
    </row>
    <row r="57" spans="1:54" ht="17" thickTop="1" thickBot="1">
      <c r="A57" s="49"/>
      <c r="B57" s="49"/>
      <c r="C57" s="49"/>
      <c r="D57" s="49"/>
      <c r="E57" s="49"/>
      <c r="F57" s="49"/>
      <c r="G57" s="49"/>
      <c r="H57" s="49"/>
      <c r="I57" s="140"/>
      <c r="J57" s="160" t="str">
        <f>'MY STATS'!AJ44</f>
        <v/>
      </c>
      <c r="K57" s="161" t="str">
        <f>IF(J57="","x",J57)</f>
        <v>x</v>
      </c>
      <c r="L57" s="208" t="str">
        <f>IF(J57="","",SUMIF(K$5:K$51,K57,M$5:M$51)/1440)</f>
        <v/>
      </c>
      <c r="M57" s="209" t="str">
        <f>IF(J57="","",IF('MY STATS'!$A$15=3,SUMIF(K$5:K$51,J57,R$5:R$51)/1000,SUMIF(K$5:K$51,J57,R$5:R$51)))</f>
        <v/>
      </c>
      <c r="N57" s="334" t="str">
        <f>IF(J57="","",IF('MY STATS'!$A$15=3,SUMIF(J$5:J$51,J57,R$5:R$51)/1000,SUMIF(J$5:J$51,J57,R$5:R$51)))</f>
        <v/>
      </c>
      <c r="O57" s="314" t="s">
        <v>148</v>
      </c>
      <c r="P57" s="339">
        <f t="shared" ref="P57:R57" si="63">SUMIF($E$5:$E$51,P52,$S$5:$S$51)</f>
        <v>0</v>
      </c>
      <c r="Q57" s="339">
        <f t="shared" si="63"/>
        <v>0</v>
      </c>
      <c r="R57" s="339">
        <f t="shared" si="63"/>
        <v>0</v>
      </c>
      <c r="S57" s="339">
        <f>SUMIF($E$5:$E$51,S52,$S$5:$S$51)</f>
        <v>0</v>
      </c>
      <c r="T57" s="339">
        <f t="shared" ref="T57:V57" si="64">SUMIF($E$5:$E$51,T52,$S$5:$S$51)</f>
        <v>0</v>
      </c>
      <c r="U57" s="339">
        <f t="shared" si="64"/>
        <v>0</v>
      </c>
      <c r="V57" s="339">
        <f t="shared" si="64"/>
        <v>0</v>
      </c>
      <c r="W57" s="239"/>
      <c r="X57" s="239"/>
      <c r="Y57" s="239"/>
      <c r="Z57" s="171"/>
      <c r="AA57" s="239"/>
      <c r="AB57" s="100"/>
      <c r="AC57" s="100"/>
      <c r="AD57" s="97"/>
    </row>
    <row r="58" spans="1:54" ht="17" thickTop="1" thickBot="1">
      <c r="A58" s="77">
        <f>A1</f>
        <v>2</v>
      </c>
      <c r="B58" s="78"/>
      <c r="C58" s="79"/>
      <c r="D58" s="71"/>
      <c r="E58" s="72" t="s">
        <v>91</v>
      </c>
      <c r="F58" s="90">
        <f>G58*0.000568181818</f>
        <v>0</v>
      </c>
      <c r="G58" s="91">
        <f>H58*1.0936113</f>
        <v>0</v>
      </c>
      <c r="H58" s="92">
        <f>H$55+G$3</f>
        <v>0</v>
      </c>
      <c r="I58" s="140"/>
      <c r="J58" s="162" t="s">
        <v>112</v>
      </c>
      <c r="K58" s="163"/>
      <c r="L58" s="210">
        <f>L59-SUM(L53:L57)</f>
        <v>0</v>
      </c>
      <c r="M58" s="211">
        <f>(M59-SUM(M53:M57))</f>
        <v>0</v>
      </c>
      <c r="N58" s="335">
        <f>(N59-SUM(N53:N57))</f>
        <v>0</v>
      </c>
      <c r="O58" s="314" t="s">
        <v>127</v>
      </c>
      <c r="P58" s="339">
        <f>IF(COUNTIFS($E$5:$E$51,P52,$L$5:$L$51,"&gt;0")=0,0,(SUMIF($E$5:$E$51,P52,$L$5:$L$51)+IF(SUMIF($E$5:$E$51,P52,$R$5:$R$51)=0,-SUMIF($E$5:$E$51,P52,$L$5:$L$51)))/60)</f>
        <v>0</v>
      </c>
      <c r="Q58" s="339">
        <f t="shared" ref="Q58:V58" si="65">IF(COUNTIFS($E$5:$E$51,Q52,$L$5:$L$51,"&gt;0")=0,0,(SUMIF($E$5:$E$51,Q52,$L$5:$L$51)+IF(SUMIF($E$5:$E$51,Q52,$R$5:$R$51)=0,-SUMIF($E$5:$E$51,Q52,$L$5:$L$51)))/60)</f>
        <v>0</v>
      </c>
      <c r="R58" s="339">
        <f t="shared" si="65"/>
        <v>0</v>
      </c>
      <c r="S58" s="339">
        <f t="shared" si="65"/>
        <v>0</v>
      </c>
      <c r="T58" s="339">
        <f t="shared" si="65"/>
        <v>0</v>
      </c>
      <c r="U58" s="339">
        <f t="shared" si="65"/>
        <v>0</v>
      </c>
      <c r="V58" s="339">
        <f t="shared" si="65"/>
        <v>0</v>
      </c>
      <c r="W58" s="239"/>
      <c r="X58" s="239"/>
      <c r="Y58" s="239"/>
      <c r="Z58" s="171"/>
      <c r="AA58" s="239"/>
      <c r="AB58" s="100"/>
      <c r="AC58" s="100"/>
      <c r="AD58" s="97"/>
    </row>
    <row r="59" spans="1:54" ht="17" thickTop="1" thickBot="1">
      <c r="A59" s="80">
        <f>A1</f>
        <v>2</v>
      </c>
      <c r="B59" s="81"/>
      <c r="C59" s="82"/>
      <c r="D59" s="73"/>
      <c r="E59" s="74" t="s">
        <v>63</v>
      </c>
      <c r="F59" s="75">
        <f>G59*0.000568181818</f>
        <v>58.999892100800167</v>
      </c>
      <c r="G59" s="76">
        <f>H59*1.0936113</f>
        <v>103839.81013063702</v>
      </c>
      <c r="H59" s="134">
        <f>VLOOKUP($A$1,'MY STATS'!B$29:K$40,10)</f>
        <v>94951.295886058433</v>
      </c>
      <c r="I59" s="138"/>
      <c r="J59" s="164" t="s">
        <v>68</v>
      </c>
      <c r="K59" s="165" t="str">
        <f t="shared" si="60"/>
        <v>total</v>
      </c>
      <c r="L59" s="212">
        <f>(SUM(L5:L51)-L40)/1440</f>
        <v>0</v>
      </c>
      <c r="M59" s="213">
        <f>IF('MY STATS'!$A$15=3,SUM(R5:R51)/1000,SUM(R5:R51))</f>
        <v>0</v>
      </c>
      <c r="N59" s="336">
        <f>IF('MY STATS'!$A$15=3,SUM(R5:R51)/1000,SUM(R5:R51))</f>
        <v>0</v>
      </c>
      <c r="O59" s="314" t="s">
        <v>111</v>
      </c>
      <c r="P59" s="317">
        <f>IFERROR(IF('MY STATS'!$A15=1,P57/P58,IF('MY STATS'!$A15=2,P57/1760/P58,IF('MY STATS'!$A15=3,P57/1000/P58,0))),0)</f>
        <v>0</v>
      </c>
      <c r="Q59" s="317">
        <f>IFERROR(IF('MY STATS'!$A15=1,Q57/Q58,IF('MY STATS'!$A15=2,Q57/1760/Q58,IF('MY STATS'!$A15=3,Q57/1000/Q58,0))),0)</f>
        <v>0</v>
      </c>
      <c r="R59" s="317">
        <f>IFERROR(IF('MY STATS'!$A15=1,R57/R58,IF('MY STATS'!$A15=2,R57/1760/R58,IF('MY STATS'!$A15=3,R57/1000/R58,0))),0)</f>
        <v>0</v>
      </c>
      <c r="S59" s="317">
        <f>IFERROR(IF('MY STATS'!$A15=1,S57/S58,IF('MY STATS'!$A15=2,S57/1760/S58,IF('MY STATS'!$A15=3,S57/1000/S58,0))),0)</f>
        <v>0</v>
      </c>
      <c r="T59" s="317">
        <f>IFERROR(IF('MY STATS'!$A15=1,T57/T58,IF('MY STATS'!$A15=2,T57/1760/T58,IF('MY STATS'!$A15=3,T57/1000/T58,0))),0)</f>
        <v>0</v>
      </c>
      <c r="U59" s="317">
        <f>IFERROR(IF('MY STATS'!$A15=1,U57/U58,IF('MY STATS'!$A15=2,U57/1760/U58,IF('MY STATS'!$A15=3,U57/1000/U58,0))),0)</f>
        <v>0</v>
      </c>
      <c r="V59" s="317">
        <f>IFERROR(IF('MY STATS'!$A15=1,V57/V58,IF('MY STATS'!$A15=2,V57/1760/V58,IF('MY STATS'!$A15=3,V57/1000/V58,0))),0)</f>
        <v>0</v>
      </c>
      <c r="W59" s="239"/>
      <c r="X59" s="239"/>
      <c r="Y59" s="239"/>
      <c r="Z59" s="171"/>
      <c r="AA59" s="239"/>
      <c r="AB59" s="100"/>
      <c r="AC59" s="100"/>
      <c r="AD59" s="97"/>
    </row>
    <row r="60" spans="1:54" ht="16" thickTop="1"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20"/>
      <c r="AB60" s="100"/>
      <c r="AC60" s="100"/>
      <c r="AD60" s="97"/>
      <c r="AE60" s="97"/>
    </row>
    <row r="61" spans="1:54"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20"/>
      <c r="AB61" s="100"/>
      <c r="AC61" s="100"/>
      <c r="AD61" s="97"/>
      <c r="AE61" s="97"/>
    </row>
    <row r="62" spans="1:54" ht="6.75" customHeight="1"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7"/>
      <c r="AC62" s="97"/>
      <c r="AD62" s="97"/>
      <c r="AE62" s="97"/>
    </row>
    <row r="63" spans="1:54"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8"/>
      <c r="AB63" s="97"/>
      <c r="AC63" s="97"/>
      <c r="AD63" s="97"/>
      <c r="AE63" s="97"/>
    </row>
    <row r="64" spans="1:54">
      <c r="O64" s="97"/>
      <c r="P64" s="97"/>
      <c r="Q64" s="97"/>
      <c r="R64" s="97"/>
      <c r="S64" s="97"/>
      <c r="T64" s="97"/>
      <c r="U64" s="97"/>
      <c r="V64" s="97"/>
      <c r="W64" s="97"/>
      <c r="X64" s="98"/>
      <c r="Y64" s="97"/>
      <c r="Z64" s="97"/>
      <c r="AA64" s="97"/>
      <c r="AB64" s="97"/>
      <c r="AC64" s="97"/>
      <c r="AD64" s="97"/>
      <c r="AE64" s="97"/>
    </row>
    <row r="65" spans="15:31"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8"/>
      <c r="AB65" s="97"/>
      <c r="AC65" s="97"/>
      <c r="AD65" s="97"/>
      <c r="AE65" s="97"/>
    </row>
    <row r="66" spans="15:31" s="3" customFormat="1"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8"/>
      <c r="AA66" s="97"/>
      <c r="AB66" s="97"/>
      <c r="AC66" s="97"/>
      <c r="AD66" s="97"/>
      <c r="AE66" s="97"/>
    </row>
    <row r="67" spans="15:31"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8"/>
    </row>
    <row r="68" spans="15:31"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8"/>
    </row>
  </sheetData>
  <sheetProtection sheet="1" objects="1" scenarios="1" selectLockedCells="1"/>
  <mergeCells count="8">
    <mergeCell ref="J49:N49"/>
    <mergeCell ref="J52:L52"/>
    <mergeCell ref="J12:N12"/>
    <mergeCell ref="J13:N13"/>
    <mergeCell ref="J21:N22"/>
    <mergeCell ref="J30:N30"/>
    <mergeCell ref="J31:N31"/>
    <mergeCell ref="J48:N48"/>
  </mergeCells>
  <conditionalFormatting sqref="Q4:Q51 R14:R20 R23:R29 R32:R38 R41:R47 R50:R51 R5:R11 T14:U20 T23:U29 T32:U38 T41:U47 T50:U51 T5:U11">
    <cfRule type="cellIs" dxfId="12321" priority="847" stopIfTrue="1" operator="lessThan">
      <formula>0</formula>
    </cfRule>
  </conditionalFormatting>
  <conditionalFormatting sqref="B14:B20 B23:B29 B49:B51 B40:B47 B53 B31:B38 D3 B5:B11">
    <cfRule type="cellIs" dxfId="12320" priority="848" stopIfTrue="1" operator="notBetween">
      <formula>$B$2</formula>
      <formula>$B$3</formula>
    </cfRule>
  </conditionalFormatting>
  <conditionalFormatting sqref="B14:B20 B23:B29 B49:B51 B40:B47 B53 B31:B38 D3 B5:B11">
    <cfRule type="cellIs" dxfId="12319" priority="849" operator="greaterThan">
      <formula>$E$3</formula>
    </cfRule>
    <cfRule type="cellIs" dxfId="12318" priority="850" operator="equal">
      <formula>$E$3</formula>
    </cfRule>
    <cfRule type="cellIs" dxfId="12317" priority="851" operator="lessThan">
      <formula>$E$3</formula>
    </cfRule>
  </conditionalFormatting>
  <conditionalFormatting sqref="F58:H58 F55:H55">
    <cfRule type="expression" dxfId="12316" priority="846">
      <formula>$F55&gt;=$F56</formula>
    </cfRule>
  </conditionalFormatting>
  <conditionalFormatting sqref="F5:H10 F14:G20 F23:G29 F38:H38 F41:H47 F11:G11 F32:G37">
    <cfRule type="cellIs" dxfId="12315" priority="836" stopIfTrue="1" operator="lessThan">
      <formula>0</formula>
    </cfRule>
  </conditionalFormatting>
  <conditionalFormatting sqref="C32:C38 C41:C47 C50:C51 C14:C20 C23:C29 C5:C11">
    <cfRule type="cellIs" dxfId="12314" priority="841" stopIfTrue="1" operator="notBetween">
      <formula>$B$2</formula>
      <formula>$B$3</formula>
    </cfRule>
  </conditionalFormatting>
  <conditionalFormatting sqref="C41:C47 C50:C51 C32:C38 C14:C20 C23:C29 C5:C11">
    <cfRule type="cellIs" dxfId="12313" priority="842" operator="greaterThan">
      <formula>$E$3</formula>
    </cfRule>
    <cfRule type="cellIs" dxfId="12312" priority="843" operator="equal">
      <formula>$E$3</formula>
    </cfRule>
    <cfRule type="cellIs" dxfId="12311" priority="844" operator="lessThan">
      <formula>$E$3</formula>
    </cfRule>
  </conditionalFormatting>
  <conditionalFormatting sqref="F14:G20 F23:G29 F38:H38 F41:H47 F32:G37">
    <cfRule type="expression" dxfId="12310" priority="840">
      <formula>$C14&lt;$E$3</formula>
    </cfRule>
  </conditionalFormatting>
  <conditionalFormatting sqref="F5:H10 F14:G20 F23:G29 F38:H38 F41:H47 F11:G11 F32:G37">
    <cfRule type="expression" dxfId="12309" priority="837">
      <formula>$C5=$E$3</formula>
    </cfRule>
    <cfRule type="expression" dxfId="12308" priority="838">
      <formula>$C5&lt;$E$3</formula>
    </cfRule>
    <cfRule type="cellIs" dxfId="12307" priority="839" operator="equal">
      <formula>0</formula>
    </cfRule>
    <cfRule type="expression" dxfId="12306" priority="845">
      <formula>$C5&gt;$E$3</formula>
    </cfRule>
  </conditionalFormatting>
  <conditionalFormatting sqref="F12:G12">
    <cfRule type="expression" dxfId="12305" priority="835">
      <formula>$F12&gt;=$F13</formula>
    </cfRule>
  </conditionalFormatting>
  <conditionalFormatting sqref="F21:G21">
    <cfRule type="expression" dxfId="12304" priority="834">
      <formula>$F21&gt;=$F22</formula>
    </cfRule>
  </conditionalFormatting>
  <conditionalFormatting sqref="F39:H39">
    <cfRule type="expression" dxfId="12303" priority="833">
      <formula>$F39&gt;=$F40</formula>
    </cfRule>
  </conditionalFormatting>
  <conditionalFormatting sqref="F30:G30">
    <cfRule type="expression" dxfId="12302" priority="832">
      <formula>$F30&gt;=$F31</formula>
    </cfRule>
  </conditionalFormatting>
  <conditionalFormatting sqref="F48:H48">
    <cfRule type="expression" dxfId="12301" priority="830" stopIfTrue="1">
      <formula>$H$48=-1E-55</formula>
    </cfRule>
    <cfRule type="expression" dxfId="12300" priority="831">
      <formula>$F48&gt;=$F49</formula>
    </cfRule>
  </conditionalFormatting>
  <conditionalFormatting sqref="F14:G20 F23:G29 F38:H38 F41:H47 F32:G37">
    <cfRule type="expression" dxfId="12299" priority="829">
      <formula>$C14&lt;$E$3</formula>
    </cfRule>
  </conditionalFormatting>
  <conditionalFormatting sqref="F14:G20 F5:H10 F23:G29 F38:H38 F41:H47 F11:G11 F32:G37">
    <cfRule type="expression" dxfId="12298" priority="825">
      <formula>$C5=$E$3</formula>
    </cfRule>
    <cfRule type="expression" dxfId="12297" priority="826">
      <formula>$C5&lt;$E$3</formula>
    </cfRule>
    <cfRule type="cellIs" dxfId="12296" priority="827" operator="equal">
      <formula>0</formula>
    </cfRule>
    <cfRule type="expression" dxfId="12295" priority="828">
      <formula>$C5&gt;$E$3</formula>
    </cfRule>
  </conditionalFormatting>
  <conditionalFormatting sqref="F12:G12">
    <cfRule type="expression" dxfId="12294" priority="824">
      <formula>$F12&gt;=$F13</formula>
    </cfRule>
  </conditionalFormatting>
  <conditionalFormatting sqref="F21:G21">
    <cfRule type="expression" dxfId="12293" priority="823">
      <formula>$F21&gt;=$F22</formula>
    </cfRule>
  </conditionalFormatting>
  <conditionalFormatting sqref="F39:H39">
    <cfRule type="expression" dxfId="12292" priority="822">
      <formula>$F39&gt;=$F40</formula>
    </cfRule>
  </conditionalFormatting>
  <conditionalFormatting sqref="F30:G30">
    <cfRule type="expression" dxfId="12291" priority="821">
      <formula>$F30&gt;=$F31</formula>
    </cfRule>
  </conditionalFormatting>
  <conditionalFormatting sqref="F48:H48">
    <cfRule type="expression" dxfId="12290" priority="819" stopIfTrue="1">
      <formula>$E$41=""</formula>
    </cfRule>
    <cfRule type="expression" dxfId="12289" priority="820">
      <formula>$F48&gt;=$F49</formula>
    </cfRule>
  </conditionalFormatting>
  <conditionalFormatting sqref="F41:H47">
    <cfRule type="expression" dxfId="12288" priority="818">
      <formula>$E41=""</formula>
    </cfRule>
  </conditionalFormatting>
  <conditionalFormatting sqref="F47:H47">
    <cfRule type="expression" dxfId="12287" priority="817">
      <formula>$E$46=""</formula>
    </cfRule>
  </conditionalFormatting>
  <conditionalFormatting sqref="F45:H45">
    <cfRule type="expression" dxfId="12286" priority="816">
      <formula>$E45=""</formula>
    </cfRule>
  </conditionalFormatting>
  <conditionalFormatting sqref="F5:H10 F11:G11">
    <cfRule type="expression" dxfId="12285" priority="815">
      <formula>$C5&lt;$E$3</formula>
    </cfRule>
  </conditionalFormatting>
  <conditionalFormatting sqref="F5:H10 F11:G11">
    <cfRule type="expression" dxfId="12284" priority="814">
      <formula>$E5=""</formula>
    </cfRule>
  </conditionalFormatting>
  <conditionalFormatting sqref="F5:H10 F11:G11">
    <cfRule type="expression" dxfId="12283" priority="810">
      <formula>$C5=$E$3</formula>
    </cfRule>
    <cfRule type="expression" dxfId="12282" priority="811">
      <formula>$C5&lt;$E$3</formula>
    </cfRule>
    <cfRule type="cellIs" dxfId="12281" priority="812" operator="equal">
      <formula>0</formula>
    </cfRule>
    <cfRule type="expression" dxfId="12280" priority="813">
      <formula>$C5&gt;$E$3</formula>
    </cfRule>
  </conditionalFormatting>
  <conditionalFormatting sqref="F5:H10 F11:G11">
    <cfRule type="expression" dxfId="12279" priority="809">
      <formula>$C5&lt;$E$3</formula>
    </cfRule>
  </conditionalFormatting>
  <conditionalFormatting sqref="F5:H10 F11:G11">
    <cfRule type="expression" dxfId="12278" priority="808">
      <formula>$E5=""</formula>
    </cfRule>
  </conditionalFormatting>
  <conditionalFormatting sqref="F14:G20">
    <cfRule type="expression" dxfId="12277" priority="807">
      <formula>$C14&lt;$E$3</formula>
    </cfRule>
  </conditionalFormatting>
  <conditionalFormatting sqref="F14:G20">
    <cfRule type="expression" dxfId="12276" priority="803">
      <formula>$C14=$E$3</formula>
    </cfRule>
    <cfRule type="expression" dxfId="12275" priority="804">
      <formula>$C14&lt;$E$3</formula>
    </cfRule>
    <cfRule type="cellIs" dxfId="12274" priority="805" operator="equal">
      <formula>0</formula>
    </cfRule>
    <cfRule type="expression" dxfId="12273" priority="806">
      <formula>$C14&gt;$E$3</formula>
    </cfRule>
  </conditionalFormatting>
  <conditionalFormatting sqref="F5:H10 F11:G11">
    <cfRule type="expression" dxfId="12272" priority="802">
      <formula>$C5&lt;$E$3</formula>
    </cfRule>
  </conditionalFormatting>
  <conditionalFormatting sqref="F5:H10 F11:G11">
    <cfRule type="expression" dxfId="12271" priority="798">
      <formula>$C5=$E$3</formula>
    </cfRule>
    <cfRule type="expression" dxfId="12270" priority="799">
      <formula>$C5&lt;$E$3</formula>
    </cfRule>
    <cfRule type="cellIs" dxfId="12269" priority="800" operator="equal">
      <formula>0</formula>
    </cfRule>
    <cfRule type="expression" dxfId="12268" priority="801">
      <formula>$C5&gt;$E$3</formula>
    </cfRule>
  </conditionalFormatting>
  <conditionalFormatting sqref="F5:H10 F11:G11">
    <cfRule type="expression" dxfId="12267" priority="797">
      <formula>$E5=""</formula>
    </cfRule>
  </conditionalFormatting>
  <conditionalFormatting sqref="F5:H10 F11:G11">
    <cfRule type="expression" dxfId="12266" priority="796">
      <formula>$C5&lt;$E$3</formula>
    </cfRule>
  </conditionalFormatting>
  <conditionalFormatting sqref="F5:H10 F11:G11">
    <cfRule type="expression" dxfId="12265" priority="795">
      <formula>$E5=""</formula>
    </cfRule>
  </conditionalFormatting>
  <conditionalFormatting sqref="F5:H10 F11:G11">
    <cfRule type="expression" dxfId="12264" priority="794">
      <formula>$E5=""</formula>
    </cfRule>
  </conditionalFormatting>
  <conditionalFormatting sqref="F5:H10 F11:G11">
    <cfRule type="expression" dxfId="12263" priority="793">
      <formula>$C5&lt;$E$3</formula>
    </cfRule>
  </conditionalFormatting>
  <conditionalFormatting sqref="F5:H10 F11:G11">
    <cfRule type="expression" dxfId="12262" priority="792">
      <formula>$E5=""</formula>
    </cfRule>
  </conditionalFormatting>
  <conditionalFormatting sqref="F5:H10 F11:G11">
    <cfRule type="expression" dxfId="12261" priority="791">
      <formula>$C5&lt;$E$3</formula>
    </cfRule>
  </conditionalFormatting>
  <conditionalFormatting sqref="F5:H10 F11:G11">
    <cfRule type="expression" dxfId="12260" priority="790">
      <formula>$E5=""</formula>
    </cfRule>
  </conditionalFormatting>
  <conditionalFormatting sqref="F5:H10 F11:G11">
    <cfRule type="expression" dxfId="12259" priority="789">
      <formula>$C5&lt;$E$3</formula>
    </cfRule>
  </conditionalFormatting>
  <conditionalFormatting sqref="F5:H10 F11:G11">
    <cfRule type="expression" dxfId="12258" priority="788">
      <formula>$E5=""</formula>
    </cfRule>
  </conditionalFormatting>
  <conditionalFormatting sqref="F14:G20">
    <cfRule type="expression" dxfId="12257" priority="787">
      <formula>$C14&lt;$E$3</formula>
    </cfRule>
  </conditionalFormatting>
  <conditionalFormatting sqref="F14:G20">
    <cfRule type="expression" dxfId="12256" priority="783">
      <formula>$C14=$E$3</formula>
    </cfRule>
    <cfRule type="expression" dxfId="12255" priority="784">
      <formula>$C14&lt;$E$3</formula>
    </cfRule>
    <cfRule type="cellIs" dxfId="12254" priority="785" operator="equal">
      <formula>0</formula>
    </cfRule>
    <cfRule type="expression" dxfId="12253" priority="786">
      <formula>$C14&gt;$E$3</formula>
    </cfRule>
  </conditionalFormatting>
  <conditionalFormatting sqref="F14:G20">
    <cfRule type="expression" dxfId="12252" priority="782">
      <formula>$E14=""</formula>
    </cfRule>
  </conditionalFormatting>
  <conditionalFormatting sqref="F14:G20">
    <cfRule type="expression" dxfId="12251" priority="781">
      <formula>$C14&lt;$E$3</formula>
    </cfRule>
  </conditionalFormatting>
  <conditionalFormatting sqref="F14:G20">
    <cfRule type="expression" dxfId="12250" priority="780">
      <formula>$E14=""</formula>
    </cfRule>
  </conditionalFormatting>
  <conditionalFormatting sqref="F14:G20">
    <cfRule type="expression" dxfId="12249" priority="779">
      <formula>$E14=""</formula>
    </cfRule>
  </conditionalFormatting>
  <conditionalFormatting sqref="F14:G20">
    <cfRule type="expression" dxfId="12248" priority="778">
      <formula>$C14&lt;$E$3</formula>
    </cfRule>
  </conditionalFormatting>
  <conditionalFormatting sqref="F14:G20">
    <cfRule type="expression" dxfId="12247" priority="777">
      <formula>$E14=""</formula>
    </cfRule>
  </conditionalFormatting>
  <conditionalFormatting sqref="F14:G20">
    <cfRule type="expression" dxfId="12246" priority="776">
      <formula>$C14&lt;$E$3</formula>
    </cfRule>
  </conditionalFormatting>
  <conditionalFormatting sqref="F14:G20">
    <cfRule type="expression" dxfId="12245" priority="775">
      <formula>$E14=""</formula>
    </cfRule>
  </conditionalFormatting>
  <conditionalFormatting sqref="F14:G20">
    <cfRule type="expression" dxfId="12244" priority="774">
      <formula>$C14&lt;$E$3</formula>
    </cfRule>
  </conditionalFormatting>
  <conditionalFormatting sqref="F14:G20">
    <cfRule type="expression" dxfId="12243" priority="773">
      <formula>$E14=""</formula>
    </cfRule>
  </conditionalFormatting>
  <conditionalFormatting sqref="F23:G29">
    <cfRule type="expression" dxfId="12242" priority="772">
      <formula>$C23&lt;$E$3</formula>
    </cfRule>
  </conditionalFormatting>
  <conditionalFormatting sqref="F23:G29">
    <cfRule type="expression" dxfId="12241" priority="768">
      <formula>$C23=$E$3</formula>
    </cfRule>
    <cfRule type="expression" dxfId="12240" priority="769">
      <formula>$C23&lt;$E$3</formula>
    </cfRule>
    <cfRule type="cellIs" dxfId="12239" priority="770" operator="equal">
      <formula>0</formula>
    </cfRule>
    <cfRule type="expression" dxfId="12238" priority="771">
      <formula>$C23&gt;$E$3</formula>
    </cfRule>
  </conditionalFormatting>
  <conditionalFormatting sqref="F23:G29">
    <cfRule type="expression" dxfId="12237" priority="767">
      <formula>$C23&lt;$E$3</formula>
    </cfRule>
  </conditionalFormatting>
  <conditionalFormatting sqref="F23:G29">
    <cfRule type="expression" dxfId="12236" priority="763">
      <formula>$C23=$E$3</formula>
    </cfRule>
    <cfRule type="expression" dxfId="12235" priority="764">
      <formula>$C23&lt;$E$3</formula>
    </cfRule>
    <cfRule type="cellIs" dxfId="12234" priority="765" operator="equal">
      <formula>0</formula>
    </cfRule>
    <cfRule type="expression" dxfId="12233" priority="766">
      <formula>$C23&gt;$E$3</formula>
    </cfRule>
  </conditionalFormatting>
  <conditionalFormatting sqref="F23:G29">
    <cfRule type="expression" dxfId="12232" priority="762">
      <formula>$E23=""</formula>
    </cfRule>
  </conditionalFormatting>
  <conditionalFormatting sqref="F23:G29">
    <cfRule type="expression" dxfId="12231" priority="761">
      <formula>$C23&lt;$E$3</formula>
    </cfRule>
  </conditionalFormatting>
  <conditionalFormatting sqref="F23:G29">
    <cfRule type="expression" dxfId="12230" priority="760">
      <formula>$E23=""</formula>
    </cfRule>
  </conditionalFormatting>
  <conditionalFormatting sqref="F23:G29">
    <cfRule type="expression" dxfId="12229" priority="759">
      <formula>$E23=""</formula>
    </cfRule>
  </conditionalFormatting>
  <conditionalFormatting sqref="F23:G29">
    <cfRule type="expression" dxfId="12228" priority="758">
      <formula>$C23&lt;$E$3</formula>
    </cfRule>
  </conditionalFormatting>
  <conditionalFormatting sqref="F23:G29">
    <cfRule type="expression" dxfId="12227" priority="757">
      <formula>$E23=""</formula>
    </cfRule>
  </conditionalFormatting>
  <conditionalFormatting sqref="F23:G29">
    <cfRule type="expression" dxfId="12226" priority="756">
      <formula>$C23&lt;$E$3</formula>
    </cfRule>
  </conditionalFormatting>
  <conditionalFormatting sqref="F23:G29">
    <cfRule type="expression" dxfId="12225" priority="755">
      <formula>$E23=""</formula>
    </cfRule>
  </conditionalFormatting>
  <conditionalFormatting sqref="F23:G29">
    <cfRule type="expression" dxfId="12224" priority="754">
      <formula>$C23&lt;$E$3</formula>
    </cfRule>
  </conditionalFormatting>
  <conditionalFormatting sqref="F23:G29">
    <cfRule type="expression" dxfId="12223" priority="753">
      <formula>$E23=""</formula>
    </cfRule>
  </conditionalFormatting>
  <conditionalFormatting sqref="F38:H38 F32:G37">
    <cfRule type="expression" dxfId="12222" priority="752">
      <formula>$C32&lt;$E$3</formula>
    </cfRule>
  </conditionalFormatting>
  <conditionalFormatting sqref="F38:H38 F32:G37">
    <cfRule type="expression" dxfId="12221" priority="748">
      <formula>$C32=$E$3</formula>
    </cfRule>
    <cfRule type="expression" dxfId="12220" priority="749">
      <formula>$C32&lt;$E$3</formula>
    </cfRule>
    <cfRule type="cellIs" dxfId="12219" priority="750" operator="equal">
      <formula>0</formula>
    </cfRule>
    <cfRule type="expression" dxfId="12218" priority="751">
      <formula>$C32&gt;$E$3</formula>
    </cfRule>
  </conditionalFormatting>
  <conditionalFormatting sqref="F38:H38 F32:G37">
    <cfRule type="expression" dxfId="12217" priority="747">
      <formula>$C32&lt;$E$3</formula>
    </cfRule>
  </conditionalFormatting>
  <conditionalFormatting sqref="F38:H38 F32:G37">
    <cfRule type="expression" dxfId="12216" priority="743">
      <formula>$C32=$E$3</formula>
    </cfRule>
    <cfRule type="expression" dxfId="12215" priority="744">
      <formula>$C32&lt;$E$3</formula>
    </cfRule>
    <cfRule type="cellIs" dxfId="12214" priority="745" operator="equal">
      <formula>0</formula>
    </cfRule>
    <cfRule type="expression" dxfId="12213" priority="746">
      <formula>$C32&gt;$E$3</formula>
    </cfRule>
  </conditionalFormatting>
  <conditionalFormatting sqref="F38:H38 F32:G37">
    <cfRule type="expression" dxfId="12212" priority="742">
      <formula>$E32=""</formula>
    </cfRule>
  </conditionalFormatting>
  <conditionalFormatting sqref="F38:H38 F32:G37">
    <cfRule type="expression" dxfId="12211" priority="741">
      <formula>$C32&lt;$E$3</formula>
    </cfRule>
  </conditionalFormatting>
  <conditionalFormatting sqref="F38:H38 F32:G37">
    <cfRule type="expression" dxfId="12210" priority="740">
      <formula>$E32=""</formula>
    </cfRule>
  </conditionalFormatting>
  <conditionalFormatting sqref="F38:H38 F32:G37">
    <cfRule type="expression" dxfId="12209" priority="739">
      <formula>$E32=""</formula>
    </cfRule>
  </conditionalFormatting>
  <conditionalFormatting sqref="F38:H38 F32:G37">
    <cfRule type="expression" dxfId="12208" priority="738">
      <formula>$C32&lt;$E$3</formula>
    </cfRule>
  </conditionalFormatting>
  <conditionalFormatting sqref="F38:H38 F32:G37">
    <cfRule type="expression" dxfId="12207" priority="737">
      <formula>$E32=""</formula>
    </cfRule>
  </conditionalFormatting>
  <conditionalFormatting sqref="F38:H38 F32:G37">
    <cfRule type="expression" dxfId="12206" priority="736">
      <formula>$C32&lt;$E$3</formula>
    </cfRule>
  </conditionalFormatting>
  <conditionalFormatting sqref="F38:H38 F32:G37">
    <cfRule type="expression" dxfId="12205" priority="735">
      <formula>$E32=""</formula>
    </cfRule>
  </conditionalFormatting>
  <conditionalFormatting sqref="F38:H38 F32:G37">
    <cfRule type="expression" dxfId="12204" priority="734">
      <formula>$C32&lt;$E$3</formula>
    </cfRule>
  </conditionalFormatting>
  <conditionalFormatting sqref="F38:H38 F32:G37">
    <cfRule type="expression" dxfId="12203" priority="733">
      <formula>$E32=""</formula>
    </cfRule>
  </conditionalFormatting>
  <conditionalFormatting sqref="F41:H47">
    <cfRule type="expression" dxfId="12202" priority="732">
      <formula>$C41&lt;$E$3</formula>
    </cfRule>
  </conditionalFormatting>
  <conditionalFormatting sqref="F41:H47">
    <cfRule type="expression" dxfId="12201" priority="728">
      <formula>$C41=$E$3</formula>
    </cfRule>
    <cfRule type="expression" dxfId="12200" priority="729">
      <formula>$C41&lt;$E$3</formula>
    </cfRule>
    <cfRule type="cellIs" dxfId="12199" priority="730" operator="equal">
      <formula>0</formula>
    </cfRule>
    <cfRule type="expression" dxfId="12198" priority="731">
      <formula>$C41&gt;$E$3</formula>
    </cfRule>
  </conditionalFormatting>
  <conditionalFormatting sqref="F41:H47">
    <cfRule type="expression" dxfId="12197" priority="727">
      <formula>$C41&lt;$E$3</formula>
    </cfRule>
  </conditionalFormatting>
  <conditionalFormatting sqref="F41:H47">
    <cfRule type="expression" dxfId="12196" priority="723">
      <formula>$C41=$E$3</formula>
    </cfRule>
    <cfRule type="expression" dxfId="12195" priority="724">
      <formula>$C41&lt;$E$3</formula>
    </cfRule>
    <cfRule type="cellIs" dxfId="12194" priority="725" operator="equal">
      <formula>0</formula>
    </cfRule>
    <cfRule type="expression" dxfId="12193" priority="726">
      <formula>$C41&gt;$E$3</formula>
    </cfRule>
  </conditionalFormatting>
  <conditionalFormatting sqref="F41:H47">
    <cfRule type="expression" dxfId="12192" priority="722">
      <formula>$E41=""</formula>
    </cfRule>
  </conditionalFormatting>
  <conditionalFormatting sqref="F41:H47">
    <cfRule type="expression" dxfId="12191" priority="721">
      <formula>$C41&lt;$E$3</formula>
    </cfRule>
  </conditionalFormatting>
  <conditionalFormatting sqref="F41:H47">
    <cfRule type="expression" dxfId="12190" priority="720">
      <formula>$E41=""</formula>
    </cfRule>
  </conditionalFormatting>
  <conditionalFormatting sqref="F41:H47">
    <cfRule type="expression" dxfId="12189" priority="719">
      <formula>$E41=""</formula>
    </cfRule>
  </conditionalFormatting>
  <conditionalFormatting sqref="F41:H47">
    <cfRule type="expression" dxfId="12188" priority="718">
      <formula>$C41&lt;$E$3</formula>
    </cfRule>
  </conditionalFormatting>
  <conditionalFormatting sqref="F41:H47">
    <cfRule type="expression" dxfId="12187" priority="717">
      <formula>$E41=""</formula>
    </cfRule>
  </conditionalFormatting>
  <conditionalFormatting sqref="F41:H47">
    <cfRule type="expression" dxfId="12186" priority="716">
      <formula>$C41&lt;$E$3</formula>
    </cfRule>
  </conditionalFormatting>
  <conditionalFormatting sqref="F41:H47">
    <cfRule type="expression" dxfId="12185" priority="715">
      <formula>$E41=""</formula>
    </cfRule>
  </conditionalFormatting>
  <conditionalFormatting sqref="F41:H47">
    <cfRule type="expression" dxfId="12184" priority="714">
      <formula>$C41&lt;$E$3</formula>
    </cfRule>
  </conditionalFormatting>
  <conditionalFormatting sqref="F41:H47">
    <cfRule type="expression" dxfId="12183" priority="713">
      <formula>$E41=""</formula>
    </cfRule>
  </conditionalFormatting>
  <conditionalFormatting sqref="F50:H51">
    <cfRule type="cellIs" dxfId="12182" priority="712" stopIfTrue="1" operator="lessThan">
      <formula>0</formula>
    </cfRule>
  </conditionalFormatting>
  <conditionalFormatting sqref="F50:H51">
    <cfRule type="expression" dxfId="12181" priority="711">
      <formula>$C50&lt;$E$3</formula>
    </cfRule>
  </conditionalFormatting>
  <conditionalFormatting sqref="F50:H51">
    <cfRule type="expression" dxfId="12180" priority="707">
      <formula>$C50=$E$3</formula>
    </cfRule>
    <cfRule type="expression" dxfId="12179" priority="708">
      <formula>$C50&lt;$E$3</formula>
    </cfRule>
    <cfRule type="cellIs" dxfId="12178" priority="709" operator="equal">
      <formula>0</formula>
    </cfRule>
    <cfRule type="expression" dxfId="12177" priority="710">
      <formula>$C50&gt;$E$3</formula>
    </cfRule>
  </conditionalFormatting>
  <conditionalFormatting sqref="F50:H51">
    <cfRule type="expression" dxfId="12176" priority="706">
      <formula>$C50&lt;$E$3</formula>
    </cfRule>
  </conditionalFormatting>
  <conditionalFormatting sqref="F50:H51">
    <cfRule type="expression" dxfId="12175" priority="702">
      <formula>$C50=$E$3</formula>
    </cfRule>
    <cfRule type="expression" dxfId="12174" priority="703">
      <formula>$C50&lt;$E$3</formula>
    </cfRule>
    <cfRule type="cellIs" dxfId="12173" priority="704" operator="equal">
      <formula>0</formula>
    </cfRule>
    <cfRule type="expression" dxfId="12172" priority="705">
      <formula>$C50&gt;$E$3</formula>
    </cfRule>
  </conditionalFormatting>
  <conditionalFormatting sqref="F50:H51">
    <cfRule type="expression" dxfId="12171" priority="701">
      <formula>$C50&lt;$E$3</formula>
    </cfRule>
  </conditionalFormatting>
  <conditionalFormatting sqref="F50:H51">
    <cfRule type="expression" dxfId="12170" priority="697">
      <formula>$C50=$E$3</formula>
    </cfRule>
    <cfRule type="expression" dxfId="12169" priority="698">
      <formula>$C50&lt;$E$3</formula>
    </cfRule>
    <cfRule type="cellIs" dxfId="12168" priority="699" operator="equal">
      <formula>0</formula>
    </cfRule>
    <cfRule type="expression" dxfId="12167" priority="700">
      <formula>$C50&gt;$E$3</formula>
    </cfRule>
  </conditionalFormatting>
  <conditionalFormatting sqref="F50:H51">
    <cfRule type="expression" dxfId="12166" priority="696">
      <formula>$C50&lt;$E$3</formula>
    </cfRule>
  </conditionalFormatting>
  <conditionalFormatting sqref="F50:H51">
    <cfRule type="expression" dxfId="12165" priority="692">
      <formula>$C50=$E$3</formula>
    </cfRule>
    <cfRule type="expression" dxfId="12164" priority="693">
      <formula>$C50&lt;$E$3</formula>
    </cfRule>
    <cfRule type="cellIs" dxfId="12163" priority="694" operator="equal">
      <formula>0</formula>
    </cfRule>
    <cfRule type="expression" dxfId="12162" priority="695">
      <formula>$C50&gt;$E$3</formula>
    </cfRule>
  </conditionalFormatting>
  <conditionalFormatting sqref="F50:H51">
    <cfRule type="expression" dxfId="12161" priority="691">
      <formula>$E50=""</formula>
    </cfRule>
  </conditionalFormatting>
  <conditionalFormatting sqref="F50:H51">
    <cfRule type="expression" dxfId="12160" priority="690">
      <formula>$C50&lt;$E$3</formula>
    </cfRule>
  </conditionalFormatting>
  <conditionalFormatting sqref="F50:H51">
    <cfRule type="expression" dxfId="12159" priority="689">
      <formula>$E50=""</formula>
    </cfRule>
  </conditionalFormatting>
  <conditionalFormatting sqref="F50:H51">
    <cfRule type="expression" dxfId="12158" priority="688">
      <formula>$E50=""</formula>
    </cfRule>
  </conditionalFormatting>
  <conditionalFormatting sqref="F50:H51">
    <cfRule type="expression" dxfId="12157" priority="687">
      <formula>$C50&lt;$E$3</formula>
    </cfRule>
  </conditionalFormatting>
  <conditionalFormatting sqref="F50:H51">
    <cfRule type="expression" dxfId="12156" priority="686">
      <formula>$E50=""</formula>
    </cfRule>
  </conditionalFormatting>
  <conditionalFormatting sqref="F50:H51">
    <cfRule type="expression" dxfId="12155" priority="685">
      <formula>$C50&lt;$E$3</formula>
    </cfRule>
  </conditionalFormatting>
  <conditionalFormatting sqref="F50:H51">
    <cfRule type="expression" dxfId="12154" priority="684">
      <formula>$E50=""</formula>
    </cfRule>
  </conditionalFormatting>
  <conditionalFormatting sqref="F50:H51">
    <cfRule type="expression" dxfId="12153" priority="683">
      <formula>$C50&lt;$E$3</formula>
    </cfRule>
  </conditionalFormatting>
  <conditionalFormatting sqref="F50:H51">
    <cfRule type="expression" dxfId="12152" priority="682">
      <formula>$E50=""</formula>
    </cfRule>
  </conditionalFormatting>
  <conditionalFormatting sqref="E14:E20 E5:E11 E41:E47 E32:E38 E23:E29 E50:E51">
    <cfRule type="containsText" dxfId="12151" priority="675" operator="containsText" text="Sa">
      <formula>NOT(ISERROR(SEARCH("Sa",E5)))</formula>
    </cfRule>
    <cfRule type="containsText" dxfId="12150" priority="677" operator="containsText" text="Fr">
      <formula>NOT(ISERROR(SEARCH("Fr",E5)))</formula>
    </cfRule>
    <cfRule type="containsText" dxfId="12149" priority="678" operator="containsText" text="Th">
      <formula>NOT(ISERROR(SEARCH("Th",E5)))</formula>
    </cfRule>
  </conditionalFormatting>
  <conditionalFormatting sqref="E14:E20 E5:E11 E41:E47 E32:E38 E23:E29 E50:E51">
    <cfRule type="containsText" dxfId="12148" priority="679" operator="containsText" text="Wed">
      <formula>NOT(ISERROR(SEARCH("Wed",E5)))</formula>
    </cfRule>
    <cfRule type="containsText" dxfId="12147" priority="680" operator="containsText" text="Tu">
      <formula>NOT(ISERROR(SEARCH("Tu",E5)))</formula>
    </cfRule>
    <cfRule type="beginsWith" dxfId="12146" priority="681" operator="beginsWith" text="M">
      <formula>LEFT(E5,1)="M"</formula>
    </cfRule>
  </conditionalFormatting>
  <conditionalFormatting sqref="E14:E20 E5:E11 E41:E47 E32:E38 E23:E29 E50:E51">
    <cfRule type="containsText" dxfId="12145" priority="676" operator="containsText" text="Su">
      <formula>NOT(ISERROR(SEARCH("Su",E5)))</formula>
    </cfRule>
  </conditionalFormatting>
  <conditionalFormatting sqref="C4">
    <cfRule type="cellIs" dxfId="12144" priority="671" stopIfTrue="1" operator="notBetween">
      <formula>$B$2</formula>
      <formula>$B$3</formula>
    </cfRule>
  </conditionalFormatting>
  <conditionalFormatting sqref="C4">
    <cfRule type="cellIs" dxfId="12143" priority="672" operator="greaterThan">
      <formula>$E$3</formula>
    </cfRule>
    <cfRule type="cellIs" dxfId="12142" priority="673" operator="equal">
      <formula>$E$3</formula>
    </cfRule>
    <cfRule type="cellIs" dxfId="12141" priority="674" operator="lessThan">
      <formula>$E$3</formula>
    </cfRule>
  </conditionalFormatting>
  <conditionalFormatting sqref="N15 J23:J29 J14:J20 J5:J11 J50:J51 J41:J47 J32:J38 N17:N18 L5:N11 L14:M20 L23:M29 L32:M38 L41:N47 L50:N51">
    <cfRule type="cellIs" dxfId="12140" priority="670" stopIfTrue="1" operator="lessThan">
      <formula>0</formula>
    </cfRule>
  </conditionalFormatting>
  <conditionalFormatting sqref="J5:J11 J50:J51 J14:J20 J23:J29 J41:J47 J32:J38 L5:M11 L14:M20 L23:M29 L32:M38 L41:M47 L50:M51">
    <cfRule type="expression" dxfId="12139" priority="668">
      <formula>$C5&lt;$E$3</formula>
    </cfRule>
  </conditionalFormatting>
  <conditionalFormatting sqref="J5:J11 J50:J51 J14:J20 J23:J29 J41:J47 J32:J38 L5:M11 L14:M20 L23:M29 L32:M38 L41:M47 L50:M51">
    <cfRule type="expression" dxfId="12138" priority="665">
      <formula>$C5=$E$3</formula>
    </cfRule>
    <cfRule type="expression" dxfId="12137" priority="666">
      <formula>$C5&lt;$E$3</formula>
    </cfRule>
    <cfRule type="cellIs" dxfId="12136" priority="667" operator="equal">
      <formula>0</formula>
    </cfRule>
    <cfRule type="expression" dxfId="12135" priority="669">
      <formula>$C5&gt;$E$3</formula>
    </cfRule>
  </conditionalFormatting>
  <conditionalFormatting sqref="J5:J11 J50:J51 J14:J20 J23:J29 J41:J47 J32:J38 L5:M11 L14:M20 L23:M29 L32:M38 L41:M47 L50:M51">
    <cfRule type="expression" dxfId="12134" priority="664">
      <formula>$E5=""</formula>
    </cfRule>
  </conditionalFormatting>
  <conditionalFormatting sqref="J5:J11 J50:J51 J14:J20 J23:J29 J41:J47 J32:J38 L5:M11 L14:M20 L23:M29 L32:M38 L41:M47 L50:M51">
    <cfRule type="expression" dxfId="12133" priority="663">
      <formula>$E5=""</formula>
    </cfRule>
  </conditionalFormatting>
  <conditionalFormatting sqref="J5:J11 J50:J51 J14:J20 J23:J29 J41:J47 J32:J38 L5:M11 L14:M20 L23:M29 L32:M38 L41:M47 L50:M51">
    <cfRule type="expression" dxfId="12132" priority="662">
      <formula>$E5=""</formula>
    </cfRule>
  </conditionalFormatting>
  <conditionalFormatting sqref="M5:M11 M14:M20 M23:M29 M32:M38 M41:M47 M50:M51">
    <cfRule type="expression" dxfId="12131" priority="661">
      <formula>$C5&lt;$E$3</formula>
    </cfRule>
  </conditionalFormatting>
  <conditionalFormatting sqref="M5:M11 M14:M20 M23:M29 M32:M38 M41:M47 M50:M51">
    <cfRule type="expression" dxfId="12130" priority="657">
      <formula>$C5=$E$3</formula>
    </cfRule>
    <cfRule type="expression" dxfId="12129" priority="658">
      <formula>$C5&lt;$E$3</formula>
    </cfRule>
    <cfRule type="cellIs" dxfId="12128" priority="659" operator="equal">
      <formula>0</formula>
    </cfRule>
    <cfRule type="expression" dxfId="12127" priority="660">
      <formula>$C5&gt;$E$3</formula>
    </cfRule>
  </conditionalFormatting>
  <conditionalFormatting sqref="M5:M11 M14:M20 M23:M29 M32:M38 M41:M47 M50:M51">
    <cfRule type="expression" dxfId="12126" priority="656">
      <formula>$C5&lt;$E$3</formula>
    </cfRule>
  </conditionalFormatting>
  <conditionalFormatting sqref="M5:M11 M14:M20 M23:M29 M32:M38 M41:M47 M50:M51">
    <cfRule type="expression" dxfId="12125" priority="652">
      <formula>$C5=$E$3</formula>
    </cfRule>
    <cfRule type="expression" dxfId="12124" priority="653">
      <formula>$C5&lt;$E$3</formula>
    </cfRule>
    <cfRule type="cellIs" dxfId="12123" priority="654" operator="equal">
      <formula>0</formula>
    </cfRule>
    <cfRule type="expression" dxfId="12122" priority="655">
      <formula>$C5&gt;$E$3</formula>
    </cfRule>
  </conditionalFormatting>
  <conditionalFormatting sqref="M5:M11 M14:M20 M23:M29 M32:M38 M41:M47 M50:M51">
    <cfRule type="expression" dxfId="12121" priority="651">
      <formula>$C5&lt;$E$3</formula>
    </cfRule>
  </conditionalFormatting>
  <conditionalFormatting sqref="M5:M11 M14:M20 M23:M29 M32:M38 M41:M47 M50:M51">
    <cfRule type="expression" dxfId="12120" priority="647">
      <formula>$C5=$E$3</formula>
    </cfRule>
    <cfRule type="expression" dxfId="12119" priority="648">
      <formula>$C5&lt;$E$3</formula>
    </cfRule>
    <cfRule type="cellIs" dxfId="12118" priority="649" operator="equal">
      <formula>0</formula>
    </cfRule>
    <cfRule type="expression" dxfId="12117" priority="650">
      <formula>$C5&gt;$E$3</formula>
    </cfRule>
  </conditionalFormatting>
  <conditionalFormatting sqref="M5:M11 M14:M20 M23:M29 M32:M38 M41:M47 M50:M51">
    <cfRule type="expression" dxfId="12116" priority="646">
      <formula>$C5&lt;$E$3</formula>
    </cfRule>
  </conditionalFormatting>
  <conditionalFormatting sqref="M5:M11 M14:M20 M23:M29 M32:M38 M41:M47 M50:M51">
    <cfRule type="expression" dxfId="12115" priority="642">
      <formula>$C5=$E$3</formula>
    </cfRule>
    <cfRule type="expression" dxfId="12114" priority="643">
      <formula>$C5&lt;$E$3</formula>
    </cfRule>
    <cfRule type="cellIs" dxfId="12113" priority="644" operator="equal">
      <formula>0</formula>
    </cfRule>
    <cfRule type="expression" dxfId="12112" priority="645">
      <formula>$C5&gt;$E$3</formula>
    </cfRule>
  </conditionalFormatting>
  <conditionalFormatting sqref="M5:M11 M14:M20 M23:M29 M32:M38 M41:M47 M50:M51">
    <cfRule type="expression" dxfId="12111" priority="641">
      <formula>$E5=""</formula>
    </cfRule>
  </conditionalFormatting>
  <conditionalFormatting sqref="M5:M11 M14:M20 M23:M29 M32:M38 M41:M47 M50:M51">
    <cfRule type="expression" dxfId="12110" priority="640">
      <formula>$C5&lt;$E$3</formula>
    </cfRule>
  </conditionalFormatting>
  <conditionalFormatting sqref="M5:M11 M14:M20 M23:M29 M32:M38 M41:M47 M50:M51">
    <cfRule type="expression" dxfId="12109" priority="639">
      <formula>$E5=""</formula>
    </cfRule>
  </conditionalFormatting>
  <conditionalFormatting sqref="M5:M11 M14:M20 M23:M29 M32:M38 M41:M47 M50:M51">
    <cfRule type="expression" dxfId="12108" priority="638">
      <formula>$E5=""</formula>
    </cfRule>
  </conditionalFormatting>
  <conditionalFormatting sqref="M5:M11 M14:M20 M23:M29 M32:M38 M41:M47 M50:M51">
    <cfRule type="expression" dxfId="12107" priority="637">
      <formula>$C5&lt;$E$3</formula>
    </cfRule>
  </conditionalFormatting>
  <conditionalFormatting sqref="M5:M11 M14:M20 M23:M29 M32:M38 M41:M47 M50:M51">
    <cfRule type="expression" dxfId="12106" priority="636">
      <formula>$E5=""</formula>
    </cfRule>
  </conditionalFormatting>
  <conditionalFormatting sqref="M5:M11 M14:M20 M23:M29 M32:M38 M41:M47 M50:M51">
    <cfRule type="expression" dxfId="12105" priority="635">
      <formula>$C5&lt;$E$3</formula>
    </cfRule>
  </conditionalFormatting>
  <conditionalFormatting sqref="M5:M11 M14:M20 M23:M29 M32:M38 M41:M47 M50:M51">
    <cfRule type="expression" dxfId="12104" priority="634">
      <formula>$E5=""</formula>
    </cfRule>
  </conditionalFormatting>
  <conditionalFormatting sqref="M5:M11 M14:M20 M23:M29 M32:M38 M41:M47 M50:M51">
    <cfRule type="expression" dxfId="12103" priority="633">
      <formula>$C5&lt;$E$3</formula>
    </cfRule>
  </conditionalFormatting>
  <conditionalFormatting sqref="M5:M11 M14:M20 M23:M29 M32:M38 M41:M47 M50:M51">
    <cfRule type="expression" dxfId="12102" priority="632">
      <formula>$E5=""</formula>
    </cfRule>
  </conditionalFormatting>
  <conditionalFormatting sqref="M5:M11 M14:M20 M23:M29 M32:M38 M41:M47 M50:M51">
    <cfRule type="expression" dxfId="12101" priority="631">
      <formula>$C5&lt;$E$3</formula>
    </cfRule>
  </conditionalFormatting>
  <conditionalFormatting sqref="M5:M11 M14:M20 M23:M29 M32:M38 M41:M47 M50:M51">
    <cfRule type="expression" dxfId="12100" priority="627">
      <formula>$C5=$E$3</formula>
    </cfRule>
    <cfRule type="expression" dxfId="12099" priority="628">
      <formula>$C5&lt;$E$3</formula>
    </cfRule>
    <cfRule type="cellIs" dxfId="12098" priority="629" operator="equal">
      <formula>0</formula>
    </cfRule>
    <cfRule type="expression" dxfId="12097" priority="630">
      <formula>$C5&gt;$E$3</formula>
    </cfRule>
  </conditionalFormatting>
  <conditionalFormatting sqref="M5:M11 M14:M20 M23:M29 M32:M38 M41:M47 M50:M51">
    <cfRule type="expression" dxfId="12096" priority="626">
      <formula>$C5&lt;$E$3</formula>
    </cfRule>
  </conditionalFormatting>
  <conditionalFormatting sqref="M5:M11 M14:M20 M23:M29 M32:M38 M41:M47 M50:M51">
    <cfRule type="expression" dxfId="12095" priority="622">
      <formula>$C5=$E$3</formula>
    </cfRule>
    <cfRule type="expression" dxfId="12094" priority="623">
      <formula>$C5&lt;$E$3</formula>
    </cfRule>
    <cfRule type="cellIs" dxfId="12093" priority="624" operator="equal">
      <formula>0</formula>
    </cfRule>
    <cfRule type="expression" dxfId="12092" priority="625">
      <formula>$C5&gt;$E$3</formula>
    </cfRule>
  </conditionalFormatting>
  <conditionalFormatting sqref="M5:M11 M14:M20 M23:M29 M32:M38 M41:M47 M50:M51">
    <cfRule type="expression" dxfId="12091" priority="621">
      <formula>$C5&lt;$E$3</formula>
    </cfRule>
  </conditionalFormatting>
  <conditionalFormatting sqref="M5:M11 M14:M20 M23:M29 M32:M38 M41:M47 M50:M51">
    <cfRule type="expression" dxfId="12090" priority="617">
      <formula>$C5=$E$3</formula>
    </cfRule>
    <cfRule type="expression" dxfId="12089" priority="618">
      <formula>$C5&lt;$E$3</formula>
    </cfRule>
    <cfRule type="cellIs" dxfId="12088" priority="619" operator="equal">
      <formula>0</formula>
    </cfRule>
    <cfRule type="expression" dxfId="12087" priority="620">
      <formula>$C5&gt;$E$3</formula>
    </cfRule>
  </conditionalFormatting>
  <conditionalFormatting sqref="M5:M11 M14:M20 M23:M29 M32:M38 M41:M47 M50:M51">
    <cfRule type="expression" dxfId="12086" priority="616">
      <formula>$C5&lt;$E$3</formula>
    </cfRule>
  </conditionalFormatting>
  <conditionalFormatting sqref="M5:M11 M14:M20 M23:M29 M32:M38 M41:M47 M50:M51">
    <cfRule type="expression" dxfId="12085" priority="612">
      <formula>$C5=$E$3</formula>
    </cfRule>
    <cfRule type="expression" dxfId="12084" priority="613">
      <formula>$C5&lt;$E$3</formula>
    </cfRule>
    <cfRule type="cellIs" dxfId="12083" priority="614" operator="equal">
      <formula>0</formula>
    </cfRule>
    <cfRule type="expression" dxfId="12082" priority="615">
      <formula>$C5&gt;$E$3</formula>
    </cfRule>
  </conditionalFormatting>
  <conditionalFormatting sqref="M5:M11 M14:M20 M23:M29 M32:M38 M41:M47 M50:M51">
    <cfRule type="expression" dxfId="12081" priority="611">
      <formula>$E5=""</formula>
    </cfRule>
  </conditionalFormatting>
  <conditionalFormatting sqref="M5:M11 M14:M20 M23:M29 M32:M38 M41:M47 M50:M51">
    <cfRule type="expression" dxfId="12080" priority="610">
      <formula>$C5&lt;$E$3</formula>
    </cfRule>
  </conditionalFormatting>
  <conditionalFormatting sqref="M5:M11 M14:M20 M23:M29 M32:M38 M41:M47 M50:M51">
    <cfRule type="expression" dxfId="12079" priority="609">
      <formula>$E5=""</formula>
    </cfRule>
  </conditionalFormatting>
  <conditionalFormatting sqref="M5:M11 M14:M20 M23:M29 M32:M38 M41:M47 M50:M51">
    <cfRule type="expression" dxfId="12078" priority="608">
      <formula>$E5=""</formula>
    </cfRule>
  </conditionalFormatting>
  <conditionalFormatting sqref="M5:M11 M14:M20 M23:M29 M32:M38 M41:M47 M50:M51">
    <cfRule type="expression" dxfId="12077" priority="607">
      <formula>$C5&lt;$E$3</formula>
    </cfRule>
  </conditionalFormatting>
  <conditionalFormatting sqref="M5:M11 M14:M20 M23:M29 M32:M38 M41:M47 M50:M51">
    <cfRule type="expression" dxfId="12076" priority="606">
      <formula>$E5=""</formula>
    </cfRule>
  </conditionalFormatting>
  <conditionalFormatting sqref="M5:M11 M14:M20 M23:M29 M32:M38 M41:M47 M50:M51">
    <cfRule type="expression" dxfId="12075" priority="605">
      <formula>$C5&lt;$E$3</formula>
    </cfRule>
  </conditionalFormatting>
  <conditionalFormatting sqref="M5:M11 M14:M20 M23:M29 M32:M38 M41:M47 M50:M51">
    <cfRule type="expression" dxfId="12074" priority="604">
      <formula>$E5=""</formula>
    </cfRule>
  </conditionalFormatting>
  <conditionalFormatting sqref="M5:M11 M14:M20 M23:M29 M32:M38 M41:M47 M50:M51">
    <cfRule type="expression" dxfId="12073" priority="603">
      <formula>$C5&lt;$E$3</formula>
    </cfRule>
  </conditionalFormatting>
  <conditionalFormatting sqref="M5:M11 M14:M20 M23:M29 M32:M38 M41:M47 M50:M51">
    <cfRule type="expression" dxfId="12072" priority="602">
      <formula>$E5=""</formula>
    </cfRule>
  </conditionalFormatting>
  <conditionalFormatting sqref="H33:H37">
    <cfRule type="expression" dxfId="12071" priority="272">
      <formula>$C33&lt;$E$3</formula>
    </cfRule>
  </conditionalFormatting>
  <conditionalFormatting sqref="H33:H37">
    <cfRule type="expression" dxfId="12070" priority="267">
      <formula>$C33&lt;$E$3</formula>
    </cfRule>
  </conditionalFormatting>
  <conditionalFormatting sqref="H33:H37">
    <cfRule type="expression" dxfId="12069" priority="263">
      <formula>$C33=$E$3</formula>
    </cfRule>
    <cfRule type="expression" dxfId="12068" priority="264">
      <formula>$C33&lt;$E$3</formula>
    </cfRule>
    <cfRule type="cellIs" dxfId="12067" priority="265" operator="equal">
      <formula>0</formula>
    </cfRule>
    <cfRule type="expression" dxfId="12066" priority="266">
      <formula>$C33&gt;$E$3</formula>
    </cfRule>
  </conditionalFormatting>
  <conditionalFormatting sqref="H33:H37">
    <cfRule type="expression" dxfId="12065" priority="246">
      <formula>$C33&lt;$E$3</formula>
    </cfRule>
  </conditionalFormatting>
  <conditionalFormatting sqref="H33:H37">
    <cfRule type="expression" dxfId="12064" priority="245">
      <formula>$E33=""</formula>
    </cfRule>
  </conditionalFormatting>
  <conditionalFormatting sqref="H33:H37">
    <cfRule type="expression" dxfId="12063" priority="244">
      <formula>$C33&lt;$E$3</formula>
    </cfRule>
  </conditionalFormatting>
  <conditionalFormatting sqref="H23:H29 H32 H14:H20 H11">
    <cfRule type="cellIs" dxfId="12062" priority="481" stopIfTrue="1" operator="lessThan">
      <formula>0</formula>
    </cfRule>
  </conditionalFormatting>
  <conditionalFormatting sqref="H12">
    <cfRule type="expression" dxfId="12061" priority="480">
      <formula>$F12&gt;=$F13</formula>
    </cfRule>
  </conditionalFormatting>
  <conditionalFormatting sqref="H21">
    <cfRule type="expression" dxfId="12060" priority="479">
      <formula>$F21&gt;=$F22</formula>
    </cfRule>
  </conditionalFormatting>
  <conditionalFormatting sqref="H30">
    <cfRule type="expression" dxfId="12059" priority="478">
      <formula>$F30&gt;=$F31</formula>
    </cfRule>
  </conditionalFormatting>
  <conditionalFormatting sqref="H12">
    <cfRule type="expression" dxfId="12058" priority="477">
      <formula>$F12&gt;=$F13</formula>
    </cfRule>
  </conditionalFormatting>
  <conditionalFormatting sqref="H21">
    <cfRule type="expression" dxfId="12057" priority="476">
      <formula>$F21&gt;=$F22</formula>
    </cfRule>
  </conditionalFormatting>
  <conditionalFormatting sqref="H30">
    <cfRule type="expression" dxfId="12056" priority="475">
      <formula>$F30&gt;=$F31</formula>
    </cfRule>
  </conditionalFormatting>
  <conditionalFormatting sqref="H11">
    <cfRule type="expression" dxfId="12055" priority="473">
      <formula>$C11&lt;$E$3</formula>
    </cfRule>
  </conditionalFormatting>
  <conditionalFormatting sqref="H11">
    <cfRule type="expression" dxfId="12054" priority="470">
      <formula>$C11=$E$3</formula>
    </cfRule>
    <cfRule type="expression" dxfId="12053" priority="471">
      <formula>$C11&lt;$E$3</formula>
    </cfRule>
    <cfRule type="cellIs" dxfId="12052" priority="472" operator="equal">
      <formula>0</formula>
    </cfRule>
    <cfRule type="expression" dxfId="12051" priority="474">
      <formula>$C11&gt;$E$3</formula>
    </cfRule>
  </conditionalFormatting>
  <conditionalFormatting sqref="H11">
    <cfRule type="expression" dxfId="12050" priority="469">
      <formula>$C11&lt;$E$3</formula>
    </cfRule>
  </conditionalFormatting>
  <conditionalFormatting sqref="H11">
    <cfRule type="expression" dxfId="12049" priority="465">
      <formula>$C11=$E$3</formula>
    </cfRule>
    <cfRule type="expression" dxfId="12048" priority="466">
      <formula>$C11&lt;$E$3</formula>
    </cfRule>
    <cfRule type="cellIs" dxfId="12047" priority="467" operator="equal">
      <formula>0</formula>
    </cfRule>
    <cfRule type="expression" dxfId="12046" priority="468">
      <formula>$C11&gt;$E$3</formula>
    </cfRule>
  </conditionalFormatting>
  <conditionalFormatting sqref="H11">
    <cfRule type="expression" dxfId="12045" priority="464">
      <formula>$C11&lt;$E$3</formula>
    </cfRule>
  </conditionalFormatting>
  <conditionalFormatting sqref="H11">
    <cfRule type="expression" dxfId="12044" priority="460">
      <formula>$C11=$E$3</formula>
    </cfRule>
    <cfRule type="expression" dxfId="12043" priority="461">
      <formula>$C11&lt;$E$3</formula>
    </cfRule>
    <cfRule type="cellIs" dxfId="12042" priority="462" operator="equal">
      <formula>0</formula>
    </cfRule>
    <cfRule type="expression" dxfId="12041" priority="463">
      <formula>$C11&gt;$E$3</formula>
    </cfRule>
  </conditionalFormatting>
  <conditionalFormatting sqref="H11">
    <cfRule type="expression" dxfId="12040" priority="459">
      <formula>$C11&lt;$E$3</formula>
    </cfRule>
  </conditionalFormatting>
  <conditionalFormatting sqref="H11">
    <cfRule type="expression" dxfId="12039" priority="455">
      <formula>$C11=$E$3</formula>
    </cfRule>
    <cfRule type="expression" dxfId="12038" priority="456">
      <formula>$C11&lt;$E$3</formula>
    </cfRule>
    <cfRule type="cellIs" dxfId="12037" priority="457" operator="equal">
      <formula>0</formula>
    </cfRule>
    <cfRule type="expression" dxfId="12036" priority="458">
      <formula>$C11&gt;$E$3</formula>
    </cfRule>
  </conditionalFormatting>
  <conditionalFormatting sqref="H11">
    <cfRule type="expression" dxfId="12035" priority="454">
      <formula>$E11=""</formula>
    </cfRule>
  </conditionalFormatting>
  <conditionalFormatting sqref="H11">
    <cfRule type="expression" dxfId="12034" priority="453">
      <formula>$C11&lt;$E$3</formula>
    </cfRule>
  </conditionalFormatting>
  <conditionalFormatting sqref="H11">
    <cfRule type="expression" dxfId="12033" priority="452">
      <formula>$E11=""</formula>
    </cfRule>
  </conditionalFormatting>
  <conditionalFormatting sqref="H11">
    <cfRule type="expression" dxfId="12032" priority="451">
      <formula>$E11=""</formula>
    </cfRule>
  </conditionalFormatting>
  <conditionalFormatting sqref="H11">
    <cfRule type="expression" dxfId="12031" priority="450">
      <formula>$C11&lt;$E$3</formula>
    </cfRule>
  </conditionalFormatting>
  <conditionalFormatting sqref="H11">
    <cfRule type="expression" dxfId="12030" priority="449">
      <formula>$E11=""</formula>
    </cfRule>
  </conditionalFormatting>
  <conditionalFormatting sqref="H11">
    <cfRule type="expression" dxfId="12029" priority="448">
      <formula>$C11&lt;$E$3</formula>
    </cfRule>
  </conditionalFormatting>
  <conditionalFormatting sqref="H11">
    <cfRule type="expression" dxfId="12028" priority="447">
      <formula>$E11=""</formula>
    </cfRule>
  </conditionalFormatting>
  <conditionalFormatting sqref="H11">
    <cfRule type="expression" dxfId="12027" priority="446">
      <formula>$C11&lt;$E$3</formula>
    </cfRule>
  </conditionalFormatting>
  <conditionalFormatting sqref="H11">
    <cfRule type="expression" dxfId="12026" priority="445">
      <formula>$E11=""</formula>
    </cfRule>
  </conditionalFormatting>
  <conditionalFormatting sqref="H14:H20">
    <cfRule type="expression" dxfId="12025" priority="443">
      <formula>$C14&lt;$E$3</formula>
    </cfRule>
  </conditionalFormatting>
  <conditionalFormatting sqref="H14:H20">
    <cfRule type="expression" dxfId="12024" priority="440">
      <formula>$C14=$E$3</formula>
    </cfRule>
    <cfRule type="expression" dxfId="12023" priority="441">
      <formula>$C14&lt;$E$3</formula>
    </cfRule>
    <cfRule type="cellIs" dxfId="12022" priority="442" operator="equal">
      <formula>0</formula>
    </cfRule>
    <cfRule type="expression" dxfId="12021" priority="444">
      <formula>$C14&gt;$E$3</formula>
    </cfRule>
  </conditionalFormatting>
  <conditionalFormatting sqref="H14:H20">
    <cfRule type="expression" dxfId="12020" priority="439">
      <formula>$C14&lt;$E$3</formula>
    </cfRule>
  </conditionalFormatting>
  <conditionalFormatting sqref="H14:H20">
    <cfRule type="expression" dxfId="12019" priority="435">
      <formula>$C14=$E$3</formula>
    </cfRule>
    <cfRule type="expression" dxfId="12018" priority="436">
      <formula>$C14&lt;$E$3</formula>
    </cfRule>
    <cfRule type="cellIs" dxfId="12017" priority="437" operator="equal">
      <formula>0</formula>
    </cfRule>
    <cfRule type="expression" dxfId="12016" priority="438">
      <formula>$C14&gt;$E$3</formula>
    </cfRule>
  </conditionalFormatting>
  <conditionalFormatting sqref="H14:H20">
    <cfRule type="expression" dxfId="12015" priority="434">
      <formula>$C14&lt;$E$3</formula>
    </cfRule>
  </conditionalFormatting>
  <conditionalFormatting sqref="H14:H20">
    <cfRule type="expression" dxfId="12014" priority="430">
      <formula>$C14=$E$3</formula>
    </cfRule>
    <cfRule type="expression" dxfId="12013" priority="431">
      <formula>$C14&lt;$E$3</formula>
    </cfRule>
    <cfRule type="cellIs" dxfId="12012" priority="432" operator="equal">
      <formula>0</formula>
    </cfRule>
    <cfRule type="expression" dxfId="12011" priority="433">
      <formula>$C14&gt;$E$3</formula>
    </cfRule>
  </conditionalFormatting>
  <conditionalFormatting sqref="H14:H20">
    <cfRule type="expression" dxfId="12010" priority="429">
      <formula>$C14&lt;$E$3</formula>
    </cfRule>
  </conditionalFormatting>
  <conditionalFormatting sqref="H14:H20">
    <cfRule type="expression" dxfId="12009" priority="425">
      <formula>$C14=$E$3</formula>
    </cfRule>
    <cfRule type="expression" dxfId="12008" priority="426">
      <formula>$C14&lt;$E$3</formula>
    </cfRule>
    <cfRule type="cellIs" dxfId="12007" priority="427" operator="equal">
      <formula>0</formula>
    </cfRule>
    <cfRule type="expression" dxfId="12006" priority="428">
      <formula>$C14&gt;$E$3</formula>
    </cfRule>
  </conditionalFormatting>
  <conditionalFormatting sqref="H14:H20">
    <cfRule type="expression" dxfId="12005" priority="424">
      <formula>$E14=""</formula>
    </cfRule>
  </conditionalFormatting>
  <conditionalFormatting sqref="H14:H20">
    <cfRule type="expression" dxfId="12004" priority="423">
      <formula>$C14&lt;$E$3</formula>
    </cfRule>
  </conditionalFormatting>
  <conditionalFormatting sqref="H14:H20">
    <cfRule type="expression" dxfId="12003" priority="422">
      <formula>$E14=""</formula>
    </cfRule>
  </conditionalFormatting>
  <conditionalFormatting sqref="H14:H20">
    <cfRule type="expression" dxfId="12002" priority="421">
      <formula>$E14=""</formula>
    </cfRule>
  </conditionalFormatting>
  <conditionalFormatting sqref="H14:H20">
    <cfRule type="expression" dxfId="12001" priority="420">
      <formula>$C14&lt;$E$3</formula>
    </cfRule>
  </conditionalFormatting>
  <conditionalFormatting sqref="H14:H20">
    <cfRule type="expression" dxfId="12000" priority="419">
      <formula>$E14=""</formula>
    </cfRule>
  </conditionalFormatting>
  <conditionalFormatting sqref="H14:H20">
    <cfRule type="expression" dxfId="11999" priority="418">
      <formula>$C14&lt;$E$3</formula>
    </cfRule>
  </conditionalFormatting>
  <conditionalFormatting sqref="H14:H20">
    <cfRule type="expression" dxfId="11998" priority="417">
      <formula>$E14=""</formula>
    </cfRule>
  </conditionalFormatting>
  <conditionalFormatting sqref="H14:H20">
    <cfRule type="expression" dxfId="11997" priority="416">
      <formula>$C14&lt;$E$3</formula>
    </cfRule>
  </conditionalFormatting>
  <conditionalFormatting sqref="H14:H20">
    <cfRule type="expression" dxfId="11996" priority="415">
      <formula>$E14=""</formula>
    </cfRule>
  </conditionalFormatting>
  <conditionalFormatting sqref="H23:H29">
    <cfRule type="expression" dxfId="11995" priority="413">
      <formula>$C23&lt;$E$3</formula>
    </cfRule>
  </conditionalFormatting>
  <conditionalFormatting sqref="H23:H29">
    <cfRule type="expression" dxfId="11994" priority="410">
      <formula>$C23=$E$3</formula>
    </cfRule>
    <cfRule type="expression" dxfId="11993" priority="411">
      <formula>$C23&lt;$E$3</formula>
    </cfRule>
    <cfRule type="cellIs" dxfId="11992" priority="412" operator="equal">
      <formula>0</formula>
    </cfRule>
    <cfRule type="expression" dxfId="11991" priority="414">
      <formula>$C23&gt;$E$3</formula>
    </cfRule>
  </conditionalFormatting>
  <conditionalFormatting sqref="H23:H29">
    <cfRule type="expression" dxfId="11990" priority="409">
      <formula>$C23&lt;$E$3</formula>
    </cfRule>
  </conditionalFormatting>
  <conditionalFormatting sqref="H23:H29">
    <cfRule type="expression" dxfId="11989" priority="405">
      <formula>$C23=$E$3</formula>
    </cfRule>
    <cfRule type="expression" dxfId="11988" priority="406">
      <formula>$C23&lt;$E$3</formula>
    </cfRule>
    <cfRule type="cellIs" dxfId="11987" priority="407" operator="equal">
      <formula>0</formula>
    </cfRule>
    <cfRule type="expression" dxfId="11986" priority="408">
      <formula>$C23&gt;$E$3</formula>
    </cfRule>
  </conditionalFormatting>
  <conditionalFormatting sqref="H23:H29">
    <cfRule type="expression" dxfId="11985" priority="404">
      <formula>$C23&lt;$E$3</formula>
    </cfRule>
  </conditionalFormatting>
  <conditionalFormatting sqref="H23:H29">
    <cfRule type="expression" dxfId="11984" priority="400">
      <formula>$C23=$E$3</formula>
    </cfRule>
    <cfRule type="expression" dxfId="11983" priority="401">
      <formula>$C23&lt;$E$3</formula>
    </cfRule>
    <cfRule type="cellIs" dxfId="11982" priority="402" operator="equal">
      <formula>0</formula>
    </cfRule>
    <cfRule type="expression" dxfId="11981" priority="403">
      <formula>$C23&gt;$E$3</formula>
    </cfRule>
  </conditionalFormatting>
  <conditionalFormatting sqref="H23:H29">
    <cfRule type="expression" dxfId="11980" priority="399">
      <formula>$C23&lt;$E$3</formula>
    </cfRule>
  </conditionalFormatting>
  <conditionalFormatting sqref="H23:H29">
    <cfRule type="expression" dxfId="11979" priority="395">
      <formula>$C23=$E$3</formula>
    </cfRule>
    <cfRule type="expression" dxfId="11978" priority="396">
      <formula>$C23&lt;$E$3</formula>
    </cfRule>
    <cfRule type="cellIs" dxfId="11977" priority="397" operator="equal">
      <formula>0</formula>
    </cfRule>
    <cfRule type="expression" dxfId="11976" priority="398">
      <formula>$C23&gt;$E$3</formula>
    </cfRule>
  </conditionalFormatting>
  <conditionalFormatting sqref="H23:H29">
    <cfRule type="expression" dxfId="11975" priority="394">
      <formula>$E23=""</formula>
    </cfRule>
  </conditionalFormatting>
  <conditionalFormatting sqref="H23:H29">
    <cfRule type="expression" dxfId="11974" priority="393">
      <formula>$C23&lt;$E$3</formula>
    </cfRule>
  </conditionalFormatting>
  <conditionalFormatting sqref="H23:H29">
    <cfRule type="expression" dxfId="11973" priority="392">
      <formula>$E23=""</formula>
    </cfRule>
  </conditionalFormatting>
  <conditionalFormatting sqref="H23:H29">
    <cfRule type="expression" dxfId="11972" priority="391">
      <formula>$E23=""</formula>
    </cfRule>
  </conditionalFormatting>
  <conditionalFormatting sqref="H23:H29">
    <cfRule type="expression" dxfId="11971" priority="390">
      <formula>$C23&lt;$E$3</formula>
    </cfRule>
  </conditionalFormatting>
  <conditionalFormatting sqref="H23:H29">
    <cfRule type="expression" dxfId="11970" priority="389">
      <formula>$E23=""</formula>
    </cfRule>
  </conditionalFormatting>
  <conditionalFormatting sqref="H23:H29">
    <cfRule type="expression" dxfId="11969" priority="388">
      <formula>$C23&lt;$E$3</formula>
    </cfRule>
  </conditionalFormatting>
  <conditionalFormatting sqref="H23:H29">
    <cfRule type="expression" dxfId="11968" priority="387">
      <formula>$E23=""</formula>
    </cfRule>
  </conditionalFormatting>
  <conditionalFormatting sqref="H23:H29">
    <cfRule type="expression" dxfId="11967" priority="386">
      <formula>$C23&lt;$E$3</formula>
    </cfRule>
  </conditionalFormatting>
  <conditionalFormatting sqref="H23:H29">
    <cfRule type="expression" dxfId="11966" priority="385">
      <formula>$E23=""</formula>
    </cfRule>
  </conditionalFormatting>
  <conditionalFormatting sqref="H32">
    <cfRule type="expression" dxfId="11965" priority="383">
      <formula>$C32&lt;$E$3</formula>
    </cfRule>
  </conditionalFormatting>
  <conditionalFormatting sqref="H32">
    <cfRule type="expression" dxfId="11964" priority="380">
      <formula>$C32=$E$3</formula>
    </cfRule>
    <cfRule type="expression" dxfId="11963" priority="381">
      <formula>$C32&lt;$E$3</formula>
    </cfRule>
    <cfRule type="cellIs" dxfId="11962" priority="382" operator="equal">
      <formula>0</formula>
    </cfRule>
    <cfRule type="expression" dxfId="11961" priority="384">
      <formula>$C32&gt;$E$3</formula>
    </cfRule>
  </conditionalFormatting>
  <conditionalFormatting sqref="H32">
    <cfRule type="expression" dxfId="11960" priority="379">
      <formula>$C32&lt;$E$3</formula>
    </cfRule>
  </conditionalFormatting>
  <conditionalFormatting sqref="H32">
    <cfRule type="expression" dxfId="11959" priority="375">
      <formula>$C32=$E$3</formula>
    </cfRule>
    <cfRule type="expression" dxfId="11958" priority="376">
      <formula>$C32&lt;$E$3</formula>
    </cfRule>
    <cfRule type="cellIs" dxfId="11957" priority="377" operator="equal">
      <formula>0</formula>
    </cfRule>
    <cfRule type="expression" dxfId="11956" priority="378">
      <formula>$C32&gt;$E$3</formula>
    </cfRule>
  </conditionalFormatting>
  <conditionalFormatting sqref="H32">
    <cfRule type="expression" dxfId="11955" priority="374">
      <formula>$C32&lt;$E$3</formula>
    </cfRule>
  </conditionalFormatting>
  <conditionalFormatting sqref="H32">
    <cfRule type="expression" dxfId="11954" priority="370">
      <formula>$C32=$E$3</formula>
    </cfRule>
    <cfRule type="expression" dxfId="11953" priority="371">
      <formula>$C32&lt;$E$3</formula>
    </cfRule>
    <cfRule type="cellIs" dxfId="11952" priority="372" operator="equal">
      <formula>0</formula>
    </cfRule>
    <cfRule type="expression" dxfId="11951" priority="373">
      <formula>$C32&gt;$E$3</formula>
    </cfRule>
  </conditionalFormatting>
  <conditionalFormatting sqref="H32">
    <cfRule type="expression" dxfId="11950" priority="369">
      <formula>$C32&lt;$E$3</formula>
    </cfRule>
  </conditionalFormatting>
  <conditionalFormatting sqref="H32">
    <cfRule type="expression" dxfId="11949" priority="365">
      <formula>$C32=$E$3</formula>
    </cfRule>
    <cfRule type="expression" dxfId="11948" priority="366">
      <formula>$C32&lt;$E$3</formula>
    </cfRule>
    <cfRule type="cellIs" dxfId="11947" priority="367" operator="equal">
      <formula>0</formula>
    </cfRule>
    <cfRule type="expression" dxfId="11946" priority="368">
      <formula>$C32&gt;$E$3</formula>
    </cfRule>
  </conditionalFormatting>
  <conditionalFormatting sqref="H32">
    <cfRule type="expression" dxfId="11945" priority="364">
      <formula>$E32=""</formula>
    </cfRule>
  </conditionalFormatting>
  <conditionalFormatting sqref="H32">
    <cfRule type="expression" dxfId="11944" priority="363">
      <formula>$C32&lt;$E$3</formula>
    </cfRule>
  </conditionalFormatting>
  <conditionalFormatting sqref="H32">
    <cfRule type="expression" dxfId="11943" priority="362">
      <formula>$E32=""</formula>
    </cfRule>
  </conditionalFormatting>
  <conditionalFormatting sqref="H32">
    <cfRule type="expression" dxfId="11942" priority="361">
      <formula>$E32=""</formula>
    </cfRule>
  </conditionalFormatting>
  <conditionalFormatting sqref="H32">
    <cfRule type="expression" dxfId="11941" priority="360">
      <formula>$C32&lt;$E$3</formula>
    </cfRule>
  </conditionalFormatting>
  <conditionalFormatting sqref="H32">
    <cfRule type="expression" dxfId="11940" priority="359">
      <formula>$E32=""</formula>
    </cfRule>
  </conditionalFormatting>
  <conditionalFormatting sqref="H32">
    <cfRule type="expression" dxfId="11939" priority="358">
      <formula>$C32&lt;$E$3</formula>
    </cfRule>
  </conditionalFormatting>
  <conditionalFormatting sqref="H32">
    <cfRule type="expression" dxfId="11938" priority="357">
      <formula>$E32=""</formula>
    </cfRule>
  </conditionalFormatting>
  <conditionalFormatting sqref="H32">
    <cfRule type="expression" dxfId="11937" priority="356">
      <formula>$C32&lt;$E$3</formula>
    </cfRule>
  </conditionalFormatting>
  <conditionalFormatting sqref="H32">
    <cfRule type="expression" dxfId="11936" priority="355">
      <formula>$E32=""</formula>
    </cfRule>
  </conditionalFormatting>
  <conditionalFormatting sqref="V50:W51 V5:W20 V23:W29 V32:W38 V41:W47">
    <cfRule type="cellIs" dxfId="11935" priority="354" stopIfTrue="1" operator="lessThan">
      <formula>0</formula>
    </cfRule>
  </conditionalFormatting>
  <conditionalFormatting sqref="F52:H52">
    <cfRule type="expression" dxfId="11934" priority="852" stopIfTrue="1">
      <formula>$H$52=-1E-55</formula>
    </cfRule>
    <cfRule type="expression" dxfId="11933" priority="853">
      <formula>$F52&gt;=$F53</formula>
    </cfRule>
  </conditionalFormatting>
  <conditionalFormatting sqref="K48:K49">
    <cfRule type="cellIs" dxfId="11932" priority="353" stopIfTrue="1" operator="lessThan">
      <formula>0</formula>
    </cfRule>
  </conditionalFormatting>
  <conditionalFormatting sqref="K48:K49">
    <cfRule type="expression" dxfId="11931" priority="352">
      <formula>$C68&lt;$E$3</formula>
    </cfRule>
  </conditionalFormatting>
  <conditionalFormatting sqref="K48:K49">
    <cfRule type="expression" dxfId="11930" priority="348">
      <formula>$C68=$E$3</formula>
    </cfRule>
    <cfRule type="expression" dxfId="11929" priority="349">
      <formula>$C68&lt;$E$3</formula>
    </cfRule>
    <cfRule type="cellIs" dxfId="11928" priority="350" operator="equal">
      <formula>0</formula>
    </cfRule>
    <cfRule type="expression" dxfId="11927" priority="351">
      <formula>$C68&gt;$E$3</formula>
    </cfRule>
  </conditionalFormatting>
  <conditionalFormatting sqref="K48:K49">
    <cfRule type="expression" dxfId="11926" priority="347">
      <formula>$C68&lt;$E$3</formula>
    </cfRule>
  </conditionalFormatting>
  <conditionalFormatting sqref="K48:K49">
    <cfRule type="expression" dxfId="11925" priority="343">
      <formula>$C68=$E$3</formula>
    </cfRule>
    <cfRule type="expression" dxfId="11924" priority="344">
      <formula>$C68&lt;$E$3</formula>
    </cfRule>
    <cfRule type="cellIs" dxfId="11923" priority="345" operator="equal">
      <formula>0</formula>
    </cfRule>
    <cfRule type="expression" dxfId="11922" priority="346">
      <formula>$C68&gt;$E$3</formula>
    </cfRule>
  </conditionalFormatting>
  <conditionalFormatting sqref="K48:K49">
    <cfRule type="expression" dxfId="11921" priority="342">
      <formula>$C68&lt;$E$3</formula>
    </cfRule>
  </conditionalFormatting>
  <conditionalFormatting sqref="K48:K49">
    <cfRule type="expression" dxfId="11920" priority="338">
      <formula>$C68=$E$3</formula>
    </cfRule>
    <cfRule type="expression" dxfId="11919" priority="339">
      <formula>$C68&lt;$E$3</formula>
    </cfRule>
    <cfRule type="cellIs" dxfId="11918" priority="340" operator="equal">
      <formula>0</formula>
    </cfRule>
    <cfRule type="expression" dxfId="11917" priority="341">
      <formula>$C68&gt;$E$3</formula>
    </cfRule>
  </conditionalFormatting>
  <conditionalFormatting sqref="K48:K49">
    <cfRule type="expression" dxfId="11916" priority="337">
      <formula>$C68&lt;$E$3</formula>
    </cfRule>
  </conditionalFormatting>
  <conditionalFormatting sqref="K48:K49">
    <cfRule type="expression" dxfId="11915" priority="333">
      <formula>$C68=$E$3</formula>
    </cfRule>
    <cfRule type="expression" dxfId="11914" priority="334">
      <formula>$C68&lt;$E$3</formula>
    </cfRule>
    <cfRule type="cellIs" dxfId="11913" priority="335" operator="equal">
      <formula>0</formula>
    </cfRule>
    <cfRule type="expression" dxfId="11912" priority="336">
      <formula>$C68&gt;$E$3</formula>
    </cfRule>
  </conditionalFormatting>
  <conditionalFormatting sqref="K48:K49">
    <cfRule type="expression" dxfId="11911" priority="332">
      <formula>$E68=""</formula>
    </cfRule>
  </conditionalFormatting>
  <conditionalFormatting sqref="K48:K49">
    <cfRule type="expression" dxfId="11910" priority="331">
      <formula>$C68&lt;$E$3</formula>
    </cfRule>
  </conditionalFormatting>
  <conditionalFormatting sqref="K48:K49">
    <cfRule type="expression" dxfId="11909" priority="330">
      <formula>$E68=""</formula>
    </cfRule>
  </conditionalFormatting>
  <conditionalFormatting sqref="K48:K49">
    <cfRule type="expression" dxfId="11908" priority="329">
      <formula>$E68=""</formula>
    </cfRule>
  </conditionalFormatting>
  <conditionalFormatting sqref="K48:K49">
    <cfRule type="expression" dxfId="11907" priority="328">
      <formula>$C68&lt;$E$3</formula>
    </cfRule>
  </conditionalFormatting>
  <conditionalFormatting sqref="K48:K49">
    <cfRule type="expression" dxfId="11906" priority="327">
      <formula>$E68=""</formula>
    </cfRule>
  </conditionalFormatting>
  <conditionalFormatting sqref="K48:K49">
    <cfRule type="expression" dxfId="11905" priority="326">
      <formula>$C68&lt;$E$3</formula>
    </cfRule>
  </conditionalFormatting>
  <conditionalFormatting sqref="K48:K49">
    <cfRule type="expression" dxfId="11904" priority="325">
      <formula>$E68=""</formula>
    </cfRule>
  </conditionalFormatting>
  <conditionalFormatting sqref="K48:K49">
    <cfRule type="expression" dxfId="11903" priority="324">
      <formula>$C68&lt;$E$3</formula>
    </cfRule>
  </conditionalFormatting>
  <conditionalFormatting sqref="K48:K49">
    <cfRule type="expression" dxfId="11902" priority="323">
      <formula>$E68=""</formula>
    </cfRule>
  </conditionalFormatting>
  <conditionalFormatting sqref="K48:K49">
    <cfRule type="expression" dxfId="11901" priority="322">
      <formula>$C68&lt;$E$3</formula>
    </cfRule>
  </conditionalFormatting>
  <conditionalFormatting sqref="K48:K49">
    <cfRule type="expression" dxfId="11900" priority="318">
      <formula>$C68=$E$3</formula>
    </cfRule>
    <cfRule type="expression" dxfId="11899" priority="319">
      <formula>$C68&lt;$E$3</formula>
    </cfRule>
    <cfRule type="cellIs" dxfId="11898" priority="320" operator="equal">
      <formula>0</formula>
    </cfRule>
    <cfRule type="expression" dxfId="11897" priority="321">
      <formula>$C68&gt;$E$3</formula>
    </cfRule>
  </conditionalFormatting>
  <conditionalFormatting sqref="K48:K49">
    <cfRule type="expression" dxfId="11896" priority="317">
      <formula>$C68&lt;$E$3</formula>
    </cfRule>
  </conditionalFormatting>
  <conditionalFormatting sqref="K48:K49">
    <cfRule type="expression" dxfId="11895" priority="313">
      <formula>$C68=$E$3</formula>
    </cfRule>
    <cfRule type="expression" dxfId="11894" priority="314">
      <formula>$C68&lt;$E$3</formula>
    </cfRule>
    <cfRule type="cellIs" dxfId="11893" priority="315" operator="equal">
      <formula>0</formula>
    </cfRule>
    <cfRule type="expression" dxfId="11892" priority="316">
      <formula>$C68&gt;$E$3</formula>
    </cfRule>
  </conditionalFormatting>
  <conditionalFormatting sqref="K48:K49">
    <cfRule type="expression" dxfId="11891" priority="312">
      <formula>$C68&lt;$E$3</formula>
    </cfRule>
  </conditionalFormatting>
  <conditionalFormatting sqref="K48:K49">
    <cfRule type="expression" dxfId="11890" priority="308">
      <formula>$C68=$E$3</formula>
    </cfRule>
    <cfRule type="expression" dxfId="11889" priority="309">
      <formula>$C68&lt;$E$3</formula>
    </cfRule>
    <cfRule type="cellIs" dxfId="11888" priority="310" operator="equal">
      <formula>0</formula>
    </cfRule>
    <cfRule type="expression" dxfId="11887" priority="311">
      <formula>$C68&gt;$E$3</formula>
    </cfRule>
  </conditionalFormatting>
  <conditionalFormatting sqref="K48:K49">
    <cfRule type="expression" dxfId="11886" priority="307">
      <formula>$C68&lt;$E$3</formula>
    </cfRule>
  </conditionalFormatting>
  <conditionalFormatting sqref="K48:K49">
    <cfRule type="expression" dxfId="11885" priority="303">
      <formula>$C68=$E$3</formula>
    </cfRule>
    <cfRule type="expression" dxfId="11884" priority="304">
      <formula>$C68&lt;$E$3</formula>
    </cfRule>
    <cfRule type="cellIs" dxfId="11883" priority="305" operator="equal">
      <formula>0</formula>
    </cfRule>
    <cfRule type="expression" dxfId="11882" priority="306">
      <formula>$C68&gt;$E$3</formula>
    </cfRule>
  </conditionalFormatting>
  <conditionalFormatting sqref="K48:K49">
    <cfRule type="expression" dxfId="11881" priority="302">
      <formula>$E68=""</formula>
    </cfRule>
  </conditionalFormatting>
  <conditionalFormatting sqref="K48:K49">
    <cfRule type="expression" dxfId="11880" priority="301">
      <formula>$C68&lt;$E$3</formula>
    </cfRule>
  </conditionalFormatting>
  <conditionalFormatting sqref="K48:K49">
    <cfRule type="expression" dxfId="11879" priority="300">
      <formula>$E68=""</formula>
    </cfRule>
  </conditionalFormatting>
  <conditionalFormatting sqref="K48:K49">
    <cfRule type="expression" dxfId="11878" priority="299">
      <formula>$E68=""</formula>
    </cfRule>
  </conditionalFormatting>
  <conditionalFormatting sqref="K48:K49">
    <cfRule type="expression" dxfId="11877" priority="298">
      <formula>$C68&lt;$E$3</formula>
    </cfRule>
  </conditionalFormatting>
  <conditionalFormatting sqref="K48:K49">
    <cfRule type="expression" dxfId="11876" priority="297">
      <formula>$E68=""</formula>
    </cfRule>
  </conditionalFormatting>
  <conditionalFormatting sqref="K48:K49">
    <cfRule type="expression" dxfId="11875" priority="296">
      <formula>$C68&lt;$E$3</formula>
    </cfRule>
  </conditionalFormatting>
  <conditionalFormatting sqref="K48:K49">
    <cfRule type="expression" dxfId="11874" priority="295">
      <formula>$E68=""</formula>
    </cfRule>
  </conditionalFormatting>
  <conditionalFormatting sqref="K48:K49">
    <cfRule type="expression" dxfId="11873" priority="294">
      <formula>$C68&lt;$E$3</formula>
    </cfRule>
  </conditionalFormatting>
  <conditionalFormatting sqref="K48:K49">
    <cfRule type="expression" dxfId="11872" priority="293">
      <formula>$E68=""</formula>
    </cfRule>
  </conditionalFormatting>
  <conditionalFormatting sqref="H33:H37">
    <cfRule type="cellIs" dxfId="11871" priority="268" stopIfTrue="1" operator="lessThan">
      <formula>0</formula>
    </cfRule>
  </conditionalFormatting>
  <conditionalFormatting sqref="H33:H37">
    <cfRule type="expression" dxfId="11870" priority="269">
      <formula>$C33=$E$3</formula>
    </cfRule>
    <cfRule type="expression" dxfId="11869" priority="270">
      <formula>$C33&lt;$E$3</formula>
    </cfRule>
    <cfRule type="cellIs" dxfId="11868" priority="271" operator="equal">
      <formula>0</formula>
    </cfRule>
    <cfRule type="expression" dxfId="11867" priority="273">
      <formula>$C33&gt;$E$3</formula>
    </cfRule>
  </conditionalFormatting>
  <conditionalFormatting sqref="H33:H37">
    <cfRule type="expression" dxfId="11866" priority="262">
      <formula>$E33=""</formula>
    </cfRule>
  </conditionalFormatting>
  <conditionalFormatting sqref="H36">
    <cfRule type="expression" dxfId="11865" priority="261">
      <formula>$E36=""</formula>
    </cfRule>
  </conditionalFormatting>
  <conditionalFormatting sqref="H33:H37">
    <cfRule type="expression" dxfId="11864" priority="260">
      <formula>$C33&lt;$E$3</formula>
    </cfRule>
  </conditionalFormatting>
  <conditionalFormatting sqref="H33:H37">
    <cfRule type="expression" dxfId="11863" priority="256">
      <formula>$C33=$E$3</formula>
    </cfRule>
    <cfRule type="expression" dxfId="11862" priority="257">
      <formula>$C33&lt;$E$3</formula>
    </cfRule>
    <cfRule type="cellIs" dxfId="11861" priority="258" operator="equal">
      <formula>0</formula>
    </cfRule>
    <cfRule type="expression" dxfId="11860" priority="259">
      <formula>$C33&gt;$E$3</formula>
    </cfRule>
  </conditionalFormatting>
  <conditionalFormatting sqref="H33:H37">
    <cfRule type="expression" dxfId="11859" priority="255">
      <formula>$C33&lt;$E$3</formula>
    </cfRule>
  </conditionalFormatting>
  <conditionalFormatting sqref="H33:H37">
    <cfRule type="expression" dxfId="11858" priority="251">
      <formula>$C33=$E$3</formula>
    </cfRule>
    <cfRule type="expression" dxfId="11857" priority="252">
      <formula>$C33&lt;$E$3</formula>
    </cfRule>
    <cfRule type="cellIs" dxfId="11856" priority="253" operator="equal">
      <formula>0</formula>
    </cfRule>
    <cfRule type="expression" dxfId="11855" priority="254">
      <formula>$C33&gt;$E$3</formula>
    </cfRule>
  </conditionalFormatting>
  <conditionalFormatting sqref="H33:H37">
    <cfRule type="expression" dxfId="11854" priority="250">
      <formula>$E33=""</formula>
    </cfRule>
  </conditionalFormatting>
  <conditionalFormatting sqref="H33:H37">
    <cfRule type="expression" dxfId="11853" priority="249">
      <formula>$C33&lt;$E$3</formula>
    </cfRule>
  </conditionalFormatting>
  <conditionalFormatting sqref="H33:H37">
    <cfRule type="expression" dxfId="11852" priority="248">
      <formula>$E33=""</formula>
    </cfRule>
  </conditionalFormatting>
  <conditionalFormatting sqref="H33:H37">
    <cfRule type="expression" dxfId="11851" priority="247">
      <formula>$E33=""</formula>
    </cfRule>
  </conditionalFormatting>
  <conditionalFormatting sqref="H33:H37">
    <cfRule type="expression" dxfId="11850" priority="243">
      <formula>$E33=""</formula>
    </cfRule>
  </conditionalFormatting>
  <conditionalFormatting sqref="H33:H37">
    <cfRule type="expression" dxfId="11849" priority="242">
      <formula>$C33&lt;$E$3</formula>
    </cfRule>
  </conditionalFormatting>
  <conditionalFormatting sqref="H33:H37">
    <cfRule type="expression" dxfId="11848" priority="241">
      <formula>$E33=""</formula>
    </cfRule>
  </conditionalFormatting>
  <conditionalFormatting sqref="J39:N40">
    <cfRule type="expression" dxfId="11847" priority="240">
      <formula>$L$40=0</formula>
    </cfRule>
  </conditionalFormatting>
  <conditionalFormatting sqref="K5:K11">
    <cfRule type="expression" dxfId="11846" priority="100">
      <formula>$C5&lt;$E$3</formula>
    </cfRule>
  </conditionalFormatting>
  <conditionalFormatting sqref="K14:K20">
    <cfRule type="expression" dxfId="11845" priority="83">
      <formula>$C14&lt;$E$3</formula>
    </cfRule>
  </conditionalFormatting>
  <conditionalFormatting sqref="K14:K20">
    <cfRule type="expression" dxfId="11844" priority="69">
      <formula>$E14=""</formula>
    </cfRule>
  </conditionalFormatting>
  <conditionalFormatting sqref="K23:K29">
    <cfRule type="expression" dxfId="11843" priority="58">
      <formula>$C23&lt;$E$3</formula>
    </cfRule>
  </conditionalFormatting>
  <conditionalFormatting sqref="K32:K38">
    <cfRule type="expression" dxfId="11842" priority="45">
      <formula>$E32=""</formula>
    </cfRule>
  </conditionalFormatting>
  <conditionalFormatting sqref="K32:K38">
    <cfRule type="expression" dxfId="11841" priority="43">
      <formula>$E32=""</formula>
    </cfRule>
  </conditionalFormatting>
  <conditionalFormatting sqref="K50:K51">
    <cfRule type="expression" dxfId="11840" priority="7">
      <formula>$C50&lt;$E$3</formula>
    </cfRule>
  </conditionalFormatting>
  <conditionalFormatting sqref="K50:K51">
    <cfRule type="expression" dxfId="11839" priority="4">
      <formula>$C50=$E$3</formula>
    </cfRule>
    <cfRule type="expression" dxfId="11838" priority="5">
      <formula>$C50&lt;$E$3</formula>
    </cfRule>
    <cfRule type="cellIs" dxfId="11837" priority="6" operator="equal">
      <formula>0</formula>
    </cfRule>
    <cfRule type="expression" dxfId="11836" priority="8">
      <formula>$C50&gt;$E$3</formula>
    </cfRule>
  </conditionalFormatting>
  <conditionalFormatting sqref="K50:K51">
    <cfRule type="expression" dxfId="11835" priority="3">
      <formula>$E50=""</formula>
    </cfRule>
  </conditionalFormatting>
  <conditionalFormatting sqref="K50:K51">
    <cfRule type="expression" dxfId="11834" priority="2">
      <formula>$E50=""</formula>
    </cfRule>
  </conditionalFormatting>
  <conditionalFormatting sqref="K50:K51">
    <cfRule type="expression" dxfId="11833" priority="1">
      <formula>$E50=""</formula>
    </cfRule>
  </conditionalFormatting>
  <conditionalFormatting sqref="K5:K11">
    <cfRule type="cellIs" dxfId="11832" priority="102" stopIfTrue="1" operator="lessThan">
      <formula>0</formula>
    </cfRule>
  </conditionalFormatting>
  <conditionalFormatting sqref="K5:K11">
    <cfRule type="expression" dxfId="11831" priority="97">
      <formula>$C5=$E$3</formula>
    </cfRule>
    <cfRule type="expression" dxfId="11830" priority="98">
      <formula>$C5&lt;$E$3</formula>
    </cfRule>
    <cfRule type="cellIs" dxfId="11829" priority="99" operator="equal">
      <formula>0</formula>
    </cfRule>
    <cfRule type="expression" dxfId="11828" priority="101">
      <formula>$C5&gt;$E$3</formula>
    </cfRule>
  </conditionalFormatting>
  <conditionalFormatting sqref="K5:K11">
    <cfRule type="expression" dxfId="11827" priority="96">
      <formula>$E5=""</formula>
    </cfRule>
  </conditionalFormatting>
  <conditionalFormatting sqref="K5:K11">
    <cfRule type="expression" dxfId="11826" priority="95">
      <formula>$E5=""</formula>
    </cfRule>
  </conditionalFormatting>
  <conditionalFormatting sqref="K5:K11">
    <cfRule type="expression" dxfId="11825" priority="94">
      <formula>$E5=""</formula>
    </cfRule>
  </conditionalFormatting>
  <conditionalFormatting sqref="K5:K11">
    <cfRule type="expression" dxfId="11824" priority="92">
      <formula>$C5&lt;$E$3</formula>
    </cfRule>
  </conditionalFormatting>
  <conditionalFormatting sqref="K5:K11">
    <cfRule type="expression" dxfId="11823" priority="89">
      <formula>$C5=$E$3</formula>
    </cfRule>
    <cfRule type="expression" dxfId="11822" priority="90">
      <formula>$C5&lt;$E$3</formula>
    </cfRule>
    <cfRule type="cellIs" dxfId="11821" priority="91" operator="equal">
      <formula>0</formula>
    </cfRule>
    <cfRule type="expression" dxfId="11820" priority="93">
      <formula>$C5&gt;$E$3</formula>
    </cfRule>
  </conditionalFormatting>
  <conditionalFormatting sqref="K5:K11">
    <cfRule type="expression" dxfId="11819" priority="88">
      <formula>$E5=""</formula>
    </cfRule>
  </conditionalFormatting>
  <conditionalFormatting sqref="K5:K11">
    <cfRule type="expression" dxfId="11818" priority="87">
      <formula>$E5=""</formula>
    </cfRule>
  </conditionalFormatting>
  <conditionalFormatting sqref="K5:K11">
    <cfRule type="expression" dxfId="11817" priority="86">
      <formula>$E5=""</formula>
    </cfRule>
  </conditionalFormatting>
  <conditionalFormatting sqref="K14:K20">
    <cfRule type="cellIs" dxfId="11816" priority="85" stopIfTrue="1" operator="lessThan">
      <formula>0</formula>
    </cfRule>
  </conditionalFormatting>
  <conditionalFormatting sqref="K14:K20">
    <cfRule type="expression" dxfId="11815" priority="80">
      <formula>$C14=$E$3</formula>
    </cfRule>
    <cfRule type="expression" dxfId="11814" priority="81">
      <formula>$C14&lt;$E$3</formula>
    </cfRule>
    <cfRule type="cellIs" dxfId="11813" priority="82" operator="equal">
      <formula>0</formula>
    </cfRule>
    <cfRule type="expression" dxfId="11812" priority="84">
      <formula>$C14&gt;$E$3</formula>
    </cfRule>
  </conditionalFormatting>
  <conditionalFormatting sqref="K14:K20">
    <cfRule type="expression" dxfId="11811" priority="79">
      <formula>$E14=""</formula>
    </cfRule>
  </conditionalFormatting>
  <conditionalFormatting sqref="K14:K20">
    <cfRule type="expression" dxfId="11810" priority="78">
      <formula>$E14=""</formula>
    </cfRule>
  </conditionalFormatting>
  <conditionalFormatting sqref="K14:K20">
    <cfRule type="expression" dxfId="11809" priority="77">
      <formula>$E14=""</formula>
    </cfRule>
  </conditionalFormatting>
  <conditionalFormatting sqref="K14:K20">
    <cfRule type="expression" dxfId="11808" priority="75">
      <formula>$C14&lt;$E$3</formula>
    </cfRule>
  </conditionalFormatting>
  <conditionalFormatting sqref="K14:K20">
    <cfRule type="expression" dxfId="11807" priority="72">
      <formula>$C14=$E$3</formula>
    </cfRule>
    <cfRule type="expression" dxfId="11806" priority="73">
      <formula>$C14&lt;$E$3</formula>
    </cfRule>
    <cfRule type="cellIs" dxfId="11805" priority="74" operator="equal">
      <formula>0</formula>
    </cfRule>
    <cfRule type="expression" dxfId="11804" priority="76">
      <formula>$C14&gt;$E$3</formula>
    </cfRule>
  </conditionalFormatting>
  <conditionalFormatting sqref="K14:K20">
    <cfRule type="expression" dxfId="11803" priority="71">
      <formula>$E14=""</formula>
    </cfRule>
  </conditionalFormatting>
  <conditionalFormatting sqref="K14:K20">
    <cfRule type="expression" dxfId="11802" priority="70">
      <formula>$E14=""</formula>
    </cfRule>
  </conditionalFormatting>
  <conditionalFormatting sqref="K23:K29">
    <cfRule type="cellIs" dxfId="11801" priority="68" stopIfTrue="1" operator="lessThan">
      <formula>0</formula>
    </cfRule>
  </conditionalFormatting>
  <conditionalFormatting sqref="K23:K29">
    <cfRule type="expression" dxfId="11800" priority="66">
      <formula>$C23&lt;$E$3</formula>
    </cfRule>
  </conditionalFormatting>
  <conditionalFormatting sqref="K23:K29">
    <cfRule type="expression" dxfId="11799" priority="63">
      <formula>$C23=$E$3</formula>
    </cfRule>
    <cfRule type="expression" dxfId="11798" priority="64">
      <formula>$C23&lt;$E$3</formula>
    </cfRule>
    <cfRule type="cellIs" dxfId="11797" priority="65" operator="equal">
      <formula>0</formula>
    </cfRule>
    <cfRule type="expression" dxfId="11796" priority="67">
      <formula>$C23&gt;$E$3</formula>
    </cfRule>
  </conditionalFormatting>
  <conditionalFormatting sqref="K23:K29">
    <cfRule type="expression" dxfId="11795" priority="62">
      <formula>$E23=""</formula>
    </cfRule>
  </conditionalFormatting>
  <conditionalFormatting sqref="K23:K29">
    <cfRule type="expression" dxfId="11794" priority="61">
      <formula>$E23=""</formula>
    </cfRule>
  </conditionalFormatting>
  <conditionalFormatting sqref="K23:K29">
    <cfRule type="expression" dxfId="11793" priority="60">
      <formula>$E23=""</formula>
    </cfRule>
  </conditionalFormatting>
  <conditionalFormatting sqref="K23:K29">
    <cfRule type="expression" dxfId="11792" priority="55">
      <formula>$C23=$E$3</formula>
    </cfRule>
    <cfRule type="expression" dxfId="11791" priority="56">
      <formula>$C23&lt;$E$3</formula>
    </cfRule>
    <cfRule type="cellIs" dxfId="11790" priority="57" operator="equal">
      <formula>0</formula>
    </cfRule>
    <cfRule type="expression" dxfId="11789" priority="59">
      <formula>$C23&gt;$E$3</formula>
    </cfRule>
  </conditionalFormatting>
  <conditionalFormatting sqref="K23:K29">
    <cfRule type="expression" dxfId="11788" priority="54">
      <formula>$E23=""</formula>
    </cfRule>
  </conditionalFormatting>
  <conditionalFormatting sqref="K23:K29">
    <cfRule type="expression" dxfId="11787" priority="53">
      <formula>$E23=""</formula>
    </cfRule>
  </conditionalFormatting>
  <conditionalFormatting sqref="K23:K29">
    <cfRule type="expression" dxfId="11786" priority="52">
      <formula>$E23=""</formula>
    </cfRule>
  </conditionalFormatting>
  <conditionalFormatting sqref="K32:K38">
    <cfRule type="cellIs" dxfId="11785" priority="51" stopIfTrue="1" operator="lessThan">
      <formula>0</formula>
    </cfRule>
  </conditionalFormatting>
  <conditionalFormatting sqref="K32:K38">
    <cfRule type="expression" dxfId="11784" priority="49">
      <formula>$C32&lt;$E$3</formula>
    </cfRule>
  </conditionalFormatting>
  <conditionalFormatting sqref="K32:K38">
    <cfRule type="expression" dxfId="11783" priority="46">
      <formula>$C32=$E$3</formula>
    </cfRule>
    <cfRule type="expression" dxfId="11782" priority="47">
      <formula>$C32&lt;$E$3</formula>
    </cfRule>
    <cfRule type="cellIs" dxfId="11781" priority="48" operator="equal">
      <formula>0</formula>
    </cfRule>
    <cfRule type="expression" dxfId="11780" priority="50">
      <formula>$C32&gt;$E$3</formula>
    </cfRule>
  </conditionalFormatting>
  <conditionalFormatting sqref="K32:K38">
    <cfRule type="expression" dxfId="11779" priority="44">
      <formula>$E32=""</formula>
    </cfRule>
  </conditionalFormatting>
  <conditionalFormatting sqref="K32:K38">
    <cfRule type="expression" dxfId="11778" priority="41">
      <formula>$C32&lt;$E$3</formula>
    </cfRule>
  </conditionalFormatting>
  <conditionalFormatting sqref="K32:K38">
    <cfRule type="expression" dxfId="11777" priority="38">
      <formula>$C32=$E$3</formula>
    </cfRule>
    <cfRule type="expression" dxfId="11776" priority="39">
      <formula>$C32&lt;$E$3</formula>
    </cfRule>
    <cfRule type="cellIs" dxfId="11775" priority="40" operator="equal">
      <formula>0</formula>
    </cfRule>
    <cfRule type="expression" dxfId="11774" priority="42">
      <formula>$C32&gt;$E$3</formula>
    </cfRule>
  </conditionalFormatting>
  <conditionalFormatting sqref="K32:K38">
    <cfRule type="expression" dxfId="11773" priority="37">
      <formula>$E32=""</formula>
    </cfRule>
  </conditionalFormatting>
  <conditionalFormatting sqref="K32:K38">
    <cfRule type="expression" dxfId="11772" priority="36">
      <formula>$E32=""</formula>
    </cfRule>
  </conditionalFormatting>
  <conditionalFormatting sqref="K32:K38">
    <cfRule type="expression" dxfId="11771" priority="35">
      <formula>$E32=""</formula>
    </cfRule>
  </conditionalFormatting>
  <conditionalFormatting sqref="K41:K47">
    <cfRule type="cellIs" dxfId="11770" priority="34" stopIfTrue="1" operator="lessThan">
      <formula>0</formula>
    </cfRule>
  </conditionalFormatting>
  <conditionalFormatting sqref="K41:K47">
    <cfRule type="expression" dxfId="11769" priority="32">
      <formula>$C41&lt;$E$3</formula>
    </cfRule>
  </conditionalFormatting>
  <conditionalFormatting sqref="K41:K47">
    <cfRule type="expression" dxfId="11768" priority="29">
      <formula>$C41=$E$3</formula>
    </cfRule>
    <cfRule type="expression" dxfId="11767" priority="30">
      <formula>$C41&lt;$E$3</formula>
    </cfRule>
    <cfRule type="cellIs" dxfId="11766" priority="31" operator="equal">
      <formula>0</formula>
    </cfRule>
    <cfRule type="expression" dxfId="11765" priority="33">
      <formula>$C41&gt;$E$3</formula>
    </cfRule>
  </conditionalFormatting>
  <conditionalFormatting sqref="K41:K47">
    <cfRule type="expression" dxfId="11764" priority="28">
      <formula>$E41=""</formula>
    </cfRule>
  </conditionalFormatting>
  <conditionalFormatting sqref="K41:K47">
    <cfRule type="expression" dxfId="11763" priority="27">
      <formula>$E41=""</formula>
    </cfRule>
  </conditionalFormatting>
  <conditionalFormatting sqref="K41:K47">
    <cfRule type="expression" dxfId="11762" priority="26">
      <formula>$E41=""</formula>
    </cfRule>
  </conditionalFormatting>
  <conditionalFormatting sqref="K41:K47">
    <cfRule type="expression" dxfId="11761" priority="24">
      <formula>$C41&lt;$E$3</formula>
    </cfRule>
  </conditionalFormatting>
  <conditionalFormatting sqref="K41:K47">
    <cfRule type="expression" dxfId="11760" priority="21">
      <formula>$C41=$E$3</formula>
    </cfRule>
    <cfRule type="expression" dxfId="11759" priority="22">
      <formula>$C41&lt;$E$3</formula>
    </cfRule>
    <cfRule type="cellIs" dxfId="11758" priority="23" operator="equal">
      <formula>0</formula>
    </cfRule>
    <cfRule type="expression" dxfId="11757" priority="25">
      <formula>$C41&gt;$E$3</formula>
    </cfRule>
  </conditionalFormatting>
  <conditionalFormatting sqref="K41:K47">
    <cfRule type="expression" dxfId="11756" priority="20">
      <formula>$E41=""</formula>
    </cfRule>
  </conditionalFormatting>
  <conditionalFormatting sqref="K41:K47">
    <cfRule type="expression" dxfId="11755" priority="19">
      <formula>$E41=""</formula>
    </cfRule>
  </conditionalFormatting>
  <conditionalFormatting sqref="K41:K47">
    <cfRule type="expression" dxfId="11754" priority="18">
      <formula>$E41=""</formula>
    </cfRule>
  </conditionalFormatting>
  <conditionalFormatting sqref="K50:K51">
    <cfRule type="cellIs" dxfId="11753" priority="17" stopIfTrue="1" operator="lessThan">
      <formula>0</formula>
    </cfRule>
  </conditionalFormatting>
  <conditionalFormatting sqref="K50:K51">
    <cfRule type="expression" dxfId="11752" priority="15">
      <formula>$C50&lt;$E$3</formula>
    </cfRule>
  </conditionalFormatting>
  <conditionalFormatting sqref="K50:K51">
    <cfRule type="expression" dxfId="11751" priority="12">
      <formula>$C50=$E$3</formula>
    </cfRule>
    <cfRule type="expression" dxfId="11750" priority="13">
      <formula>$C50&lt;$E$3</formula>
    </cfRule>
    <cfRule type="cellIs" dxfId="11749" priority="14" operator="equal">
      <formula>0</formula>
    </cfRule>
    <cfRule type="expression" dxfId="11748" priority="16">
      <formula>$C50&gt;$E$3</formula>
    </cfRule>
  </conditionalFormatting>
  <conditionalFormatting sqref="K50:K51">
    <cfRule type="expression" dxfId="11747" priority="11">
      <formula>$E50=""</formula>
    </cfRule>
  </conditionalFormatting>
  <conditionalFormatting sqref="K50:K51">
    <cfRule type="expression" dxfId="11746" priority="10">
      <formula>$E50=""</formula>
    </cfRule>
  </conditionalFormatting>
  <conditionalFormatting sqref="K50:K51">
    <cfRule type="expression" dxfId="11745" priority="9">
      <formula>$E50=""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BB66"/>
  <sheetViews>
    <sheetView zoomScale="75" zoomScaleNormal="75" zoomScalePageLayoutView="75" workbookViewId="0">
      <pane ySplit="4" topLeftCell="A5" activePane="bottomLeft" state="frozen"/>
      <selection pane="bottomLeft" activeCell="Q30" sqref="Q30"/>
    </sheetView>
  </sheetViews>
  <sheetFormatPr baseColWidth="10" defaultColWidth="8.83203125" defaultRowHeight="15" x14ac:dyDescent="0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.1640625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.25" customHeight="1" thickBot="1">
      <c r="A1" s="52">
        <v>3</v>
      </c>
      <c r="B1" s="50" t="s">
        <v>0</v>
      </c>
      <c r="C1" s="51" t="s">
        <v>0</v>
      </c>
      <c r="D1" s="51"/>
      <c r="E1" s="363" t="str">
        <f>VLOOKUP(A1,'MY STATS'!$B$29:$E$40,4)</f>
        <v>Mar.</v>
      </c>
      <c r="F1" s="141" t="s">
        <v>78</v>
      </c>
      <c r="G1" s="142" t="s">
        <v>77</v>
      </c>
      <c r="H1" s="143" t="s">
        <v>79</v>
      </c>
      <c r="I1" s="144"/>
      <c r="J1" s="144" t="s">
        <v>113</v>
      </c>
      <c r="K1" s="127" t="s">
        <v>109</v>
      </c>
      <c r="L1" s="142" t="s">
        <v>114</v>
      </c>
      <c r="M1" s="127" t="s">
        <v>110</v>
      </c>
      <c r="N1" s="321" t="s">
        <v>59</v>
      </c>
      <c r="O1" s="244" t="s">
        <v>31</v>
      </c>
      <c r="P1" s="250" t="s">
        <v>32</v>
      </c>
      <c r="Q1" s="250" t="s">
        <v>32</v>
      </c>
      <c r="R1" s="343" t="s">
        <v>38</v>
      </c>
      <c r="S1" s="364" t="s">
        <v>149</v>
      </c>
      <c r="T1" s="343"/>
      <c r="U1" s="343"/>
      <c r="V1" s="343" t="s">
        <v>107</v>
      </c>
      <c r="W1" s="343" t="s">
        <v>108</v>
      </c>
      <c r="X1" s="250" t="s">
        <v>30</v>
      </c>
      <c r="Y1" s="250" t="s">
        <v>27</v>
      </c>
      <c r="Z1" s="250" t="s">
        <v>28</v>
      </c>
      <c r="AA1" s="344" t="s">
        <v>29</v>
      </c>
      <c r="AB1" s="230"/>
      <c r="AC1" s="230"/>
      <c r="AD1" s="319"/>
    </row>
    <row r="2" spans="1:34" ht="32" hidden="1" thickTop="1" thickBot="1">
      <c r="A2" s="95" t="s">
        <v>75</v>
      </c>
      <c r="B2" s="25">
        <f>VLOOKUP(A1,'MY STATS'!$B$29:$G$40,3)</f>
        <v>43160</v>
      </c>
      <c r="D2" s="45"/>
      <c r="E2" s="2" t="s">
        <v>19</v>
      </c>
      <c r="F2" s="95" t="s">
        <v>74</v>
      </c>
      <c r="G2" s="93" t="s">
        <v>61</v>
      </c>
      <c r="H2" s="64" t="s">
        <v>60</v>
      </c>
      <c r="I2" s="64"/>
      <c r="J2" s="64"/>
      <c r="K2" s="64"/>
      <c r="L2" s="64"/>
      <c r="M2" s="64"/>
      <c r="N2" s="322"/>
      <c r="O2" s="345"/>
      <c r="P2" s="230"/>
      <c r="Q2" s="230"/>
      <c r="R2" s="346">
        <f>'MY STATS'!A15</f>
        <v>1</v>
      </c>
      <c r="S2" s="346"/>
      <c r="T2" s="346"/>
      <c r="U2" s="346"/>
      <c r="V2" s="346"/>
      <c r="W2" s="346"/>
      <c r="X2" s="230"/>
      <c r="Y2" s="230"/>
      <c r="Z2" s="234"/>
      <c r="AA2" s="234"/>
      <c r="AB2" s="230"/>
      <c r="AC2" s="230"/>
      <c r="AD2" s="319"/>
    </row>
    <row r="3" spans="1:34" ht="17" hidden="1" thickTop="1" thickBot="1">
      <c r="A3" s="96">
        <f>'MY STATS'!D41</f>
        <v>43466</v>
      </c>
      <c r="B3" s="25">
        <f>VLOOKUP(A1+1,'MY STATS'!$B$29:$G$41,3)-1</f>
        <v>43190</v>
      </c>
      <c r="C3" s="25">
        <f>VLOOKUP(A1,'MY STATS'!$B$29:$G$40,2)</f>
        <v>43157</v>
      </c>
      <c r="D3" s="46"/>
      <c r="E3" s="4">
        <f ca="1">TODAY()</f>
        <v>43138</v>
      </c>
      <c r="F3" s="65">
        <f>'MY STATS'!B$11</f>
        <v>587410.55929510726</v>
      </c>
      <c r="G3" s="65">
        <f>VLOOKUP(A1-1,'MY STATS'!B$28:J$40,9)</f>
        <v>0</v>
      </c>
      <c r="H3" s="66">
        <f>VLOOKUP($A$1-1,'MY STATS'!$B$28:$I$41,8)</f>
        <v>0</v>
      </c>
      <c r="I3" s="66"/>
      <c r="J3" s="66"/>
      <c r="K3" s="66"/>
      <c r="L3" s="65"/>
      <c r="M3" s="65"/>
      <c r="N3" s="323"/>
      <c r="O3" s="345"/>
      <c r="P3" s="230"/>
      <c r="Q3" s="230"/>
      <c r="R3" s="346"/>
      <c r="S3" s="346"/>
      <c r="T3" s="346"/>
      <c r="U3" s="346"/>
      <c r="V3" s="346"/>
      <c r="W3" s="346"/>
      <c r="X3" s="230"/>
      <c r="Y3" s="230"/>
      <c r="Z3" s="234"/>
      <c r="AA3" s="234"/>
      <c r="AB3" s="230"/>
      <c r="AC3" s="230"/>
      <c r="AD3" s="319"/>
    </row>
    <row r="4" spans="1:34" ht="14" hidden="1" customHeight="1" thickBot="1">
      <c r="A4" s="3"/>
      <c r="C4" s="37">
        <f>C3-1</f>
        <v>43156</v>
      </c>
      <c r="D4" s="3"/>
      <c r="O4" s="347"/>
      <c r="P4" s="260">
        <f t="shared" ref="P4:P11" si="0">H$56</f>
        <v>59509.969402550421</v>
      </c>
      <c r="Q4" s="169">
        <f>IF(R$2=3,P4,IF(R$2=2,P4*1.0936,IF(R$2=1,P4*0.000568181818*1.0936133,"")))</f>
        <v>36.97778068204336</v>
      </c>
      <c r="R4" s="246"/>
      <c r="S4" s="246"/>
      <c r="T4" s="246"/>
      <c r="U4" s="246"/>
      <c r="V4" s="246"/>
      <c r="W4" s="246"/>
      <c r="X4" s="260"/>
      <c r="Y4" s="260"/>
      <c r="Z4" s="259">
        <v>0</v>
      </c>
      <c r="AA4" s="234"/>
      <c r="AB4" s="230">
        <v>0</v>
      </c>
      <c r="AC4" s="230"/>
      <c r="AD4" s="319"/>
    </row>
    <row r="5" spans="1:34" ht="15.75" customHeight="1" thickTop="1">
      <c r="A5" s="26" t="s">
        <v>8</v>
      </c>
      <c r="B5" s="23">
        <f>IF(B$2&gt;C5,0,C5)</f>
        <v>0</v>
      </c>
      <c r="C5" s="37">
        <f>C3</f>
        <v>43157</v>
      </c>
      <c r="D5" s="24">
        <f t="shared" ref="D5:D51" ca="1" si="1">TODAY()-C5</f>
        <v>-19</v>
      </c>
      <c r="E5" s="115" t="str">
        <f>IF(B5=0,"","Monday")</f>
        <v/>
      </c>
      <c r="F5" s="55"/>
      <c r="G5" s="56"/>
      <c r="H5" s="56"/>
      <c r="I5" s="199"/>
      <c r="J5" s="56"/>
      <c r="K5" s="201" t="str">
        <f t="shared" ref="K5" si="2">IF(R5=0,"",IF(L5="","",J5))</f>
        <v/>
      </c>
      <c r="L5" s="56"/>
      <c r="M5" s="56" t="str">
        <f>IF(R5=0,"",IF(J5="","",L5))</f>
        <v/>
      </c>
      <c r="N5" s="324"/>
      <c r="O5" s="259" t="str">
        <f t="shared" ref="O5:O51" si="3">IF(B5=0,"",(F$3-G$3)/(A$3-B$2)+0.1)</f>
        <v/>
      </c>
      <c r="P5" s="260">
        <f t="shared" si="0"/>
        <v>59509.969402550421</v>
      </c>
      <c r="Q5" s="169">
        <f t="shared" ref="Q5:Q51" si="4">IF(R$2=3,P5,IF(R$2=2,P5*1.0936,IF(R$2=1,P5*0.000568181818*1.0936133,"")))</f>
        <v>36.97778068204336</v>
      </c>
      <c r="R5" s="169">
        <f>IF(R$2=3,H5+G5/1.0936133+F5/0.0006213712,IF(R$2=2,H5*1.0936133+G5+F5/0.0005681818,IF(R$2=1,H5*0.0005681818*1.0936133+G5*0.0005681818+F5,"")))</f>
        <v>0</v>
      </c>
      <c r="S5" s="368" t="str">
        <f>IF(R5=0,"",R5*IF(L5&gt;0,1,0))</f>
        <v/>
      </c>
      <c r="T5" s="169"/>
      <c r="U5" s="169"/>
      <c r="V5" s="170" t="str">
        <f t="shared" ref="V5:V11" si="5">IF(L5="","",IF(R5=0,"",IF(B5=0,"",IF($R$2=3,R5/L5*60/1000,IF($R$2=2,R5/L5*60/1760,IF($R$2=1,R5/L5*60,""))))))</f>
        <v/>
      </c>
      <c r="W5" s="170" t="str">
        <f t="shared" ref="W5:W11" si="6">IF(R5=0,"",IF(L5="","",V5*L5))</f>
        <v/>
      </c>
      <c r="X5" s="259">
        <f t="shared" ref="X5:Z11" si="7">F5+X4</f>
        <v>0</v>
      </c>
      <c r="Y5" s="259">
        <f t="shared" si="7"/>
        <v>0</v>
      </c>
      <c r="Z5" s="259">
        <f t="shared" si="7"/>
        <v>0</v>
      </c>
      <c r="AA5" s="348">
        <f t="shared" ref="AA5:AA51" si="8">Z5/1000+Y5/1093.6133+X5/0.621371192</f>
        <v>0</v>
      </c>
      <c r="AB5" s="349">
        <f>R5</f>
        <v>0</v>
      </c>
      <c r="AC5" s="234"/>
      <c r="AD5" s="320"/>
      <c r="AE5" s="8"/>
      <c r="AF5" s="8"/>
    </row>
    <row r="6" spans="1:34">
      <c r="A6" s="27"/>
      <c r="B6" s="5">
        <f t="shared" ref="B6:B11" si="9">IF(B$2&gt;C6,0,C6)</f>
        <v>0</v>
      </c>
      <c r="C6" s="38">
        <f>C3+1</f>
        <v>43158</v>
      </c>
      <c r="D6" s="7">
        <f t="shared" ca="1" si="1"/>
        <v>-20</v>
      </c>
      <c r="E6" s="114" t="str">
        <f>IF(B6=0,"","Tuesday")</f>
        <v/>
      </c>
      <c r="F6" s="55"/>
      <c r="G6" s="56"/>
      <c r="H6" s="56"/>
      <c r="I6" s="200"/>
      <c r="J6" s="56"/>
      <c r="K6" s="201" t="str">
        <f>IF(R6=0,"",IF(L6="","",J6))</f>
        <v/>
      </c>
      <c r="L6" s="56"/>
      <c r="M6" s="56" t="str">
        <f t="shared" ref="M6:M11" si="10">IF(R6=0,"",IF(J6="","",L6))</f>
        <v/>
      </c>
      <c r="N6" s="324"/>
      <c r="O6" s="259" t="str">
        <f t="shared" si="3"/>
        <v/>
      </c>
      <c r="P6" s="260">
        <f t="shared" si="0"/>
        <v>59509.969402550421</v>
      </c>
      <c r="Q6" s="169">
        <f t="shared" si="4"/>
        <v>36.97778068204336</v>
      </c>
      <c r="R6" s="169">
        <f t="shared" ref="R6:R11" si="11">IF(R$2=3,H6+G6/1.0936133+F6/0.0006213712,IF(R$2=2,H6*1.0936133+G6+F6/0.0005681818,IF(R$2=1,H6*0.0005681818*1.0936133+G6*0.0005681818+F6,"")))</f>
        <v>0</v>
      </c>
      <c r="S6" s="368" t="str">
        <f t="shared" ref="S6:S51" si="12">IF(R6=0,"",R6*IF(L6&gt;0,1,0))</f>
        <v/>
      </c>
      <c r="T6" s="169"/>
      <c r="U6" s="169"/>
      <c r="V6" s="170" t="str">
        <f t="shared" si="5"/>
        <v/>
      </c>
      <c r="W6" s="170" t="str">
        <f t="shared" si="6"/>
        <v/>
      </c>
      <c r="X6" s="259">
        <f t="shared" si="7"/>
        <v>0</v>
      </c>
      <c r="Y6" s="259">
        <f t="shared" si="7"/>
        <v>0</v>
      </c>
      <c r="Z6" s="259">
        <f t="shared" si="7"/>
        <v>0</v>
      </c>
      <c r="AA6" s="348">
        <f t="shared" si="8"/>
        <v>0</v>
      </c>
      <c r="AB6" s="274">
        <f t="shared" ref="AB6:AB51" si="13">AB5+R6</f>
        <v>0</v>
      </c>
      <c r="AC6" s="230"/>
      <c r="AD6" s="319"/>
      <c r="AH6" s="10"/>
    </row>
    <row r="7" spans="1:34">
      <c r="A7" s="27"/>
      <c r="B7" s="5">
        <f t="shared" si="9"/>
        <v>0</v>
      </c>
      <c r="C7" s="38">
        <f>C3+2</f>
        <v>43159</v>
      </c>
      <c r="D7" s="7">
        <f t="shared" ca="1" si="1"/>
        <v>-21</v>
      </c>
      <c r="E7" s="114" t="str">
        <f>IF(B7=0,"","Wednesday")</f>
        <v/>
      </c>
      <c r="F7" s="55"/>
      <c r="G7" s="56"/>
      <c r="H7" s="56"/>
      <c r="I7" s="200"/>
      <c r="J7" s="56"/>
      <c r="K7" s="201" t="str">
        <f t="shared" ref="K7:K11" si="14">IF(R7=0,"",IF(L7="","",J7))</f>
        <v/>
      </c>
      <c r="L7" s="56"/>
      <c r="M7" s="56" t="str">
        <f t="shared" si="10"/>
        <v/>
      </c>
      <c r="N7" s="324"/>
      <c r="O7" s="259" t="str">
        <f t="shared" si="3"/>
        <v/>
      </c>
      <c r="P7" s="260">
        <f t="shared" si="0"/>
        <v>59509.969402550421</v>
      </c>
      <c r="Q7" s="169">
        <f t="shared" si="4"/>
        <v>36.97778068204336</v>
      </c>
      <c r="R7" s="169">
        <f t="shared" si="11"/>
        <v>0</v>
      </c>
      <c r="S7" s="368" t="str">
        <f t="shared" si="12"/>
        <v/>
      </c>
      <c r="T7" s="169"/>
      <c r="U7" s="169"/>
      <c r="V7" s="170" t="str">
        <f t="shared" si="5"/>
        <v/>
      </c>
      <c r="W7" s="170" t="str">
        <f t="shared" si="6"/>
        <v/>
      </c>
      <c r="X7" s="259">
        <f t="shared" si="7"/>
        <v>0</v>
      </c>
      <c r="Y7" s="259">
        <f t="shared" si="7"/>
        <v>0</v>
      </c>
      <c r="Z7" s="259">
        <f t="shared" si="7"/>
        <v>0</v>
      </c>
      <c r="AA7" s="348">
        <f t="shared" si="8"/>
        <v>0</v>
      </c>
      <c r="AB7" s="274">
        <f t="shared" si="13"/>
        <v>0</v>
      </c>
      <c r="AC7" s="230"/>
      <c r="AD7" s="319"/>
    </row>
    <row r="8" spans="1:34">
      <c r="A8" s="27"/>
      <c r="B8" s="5">
        <f t="shared" si="9"/>
        <v>43160</v>
      </c>
      <c r="C8" s="38">
        <f>C3+3</f>
        <v>43160</v>
      </c>
      <c r="D8" s="7">
        <f t="shared" ca="1" si="1"/>
        <v>-22</v>
      </c>
      <c r="E8" s="114" t="str">
        <f>IF(B8=0,"","Thursday")</f>
        <v>Thursday</v>
      </c>
      <c r="F8" s="55"/>
      <c r="G8" s="56"/>
      <c r="H8" s="56"/>
      <c r="I8" s="200"/>
      <c r="J8" s="56"/>
      <c r="K8" s="201" t="str">
        <f t="shared" si="14"/>
        <v/>
      </c>
      <c r="L8" s="56"/>
      <c r="M8" s="56" t="str">
        <f t="shared" si="10"/>
        <v/>
      </c>
      <c r="N8" s="325"/>
      <c r="O8" s="259">
        <f t="shared" si="3"/>
        <v>1919.7423506376053</v>
      </c>
      <c r="P8" s="260">
        <f t="shared" si="0"/>
        <v>59509.969402550421</v>
      </c>
      <c r="Q8" s="169">
        <f t="shared" si="4"/>
        <v>36.97778068204336</v>
      </c>
      <c r="R8" s="169">
        <f t="shared" si="11"/>
        <v>0</v>
      </c>
      <c r="S8" s="368" t="str">
        <f t="shared" si="12"/>
        <v/>
      </c>
      <c r="T8" s="169"/>
      <c r="U8" s="169"/>
      <c r="V8" s="170" t="str">
        <f t="shared" si="5"/>
        <v/>
      </c>
      <c r="W8" s="170" t="str">
        <f t="shared" si="6"/>
        <v/>
      </c>
      <c r="X8" s="259">
        <f t="shared" si="7"/>
        <v>0</v>
      </c>
      <c r="Y8" s="259">
        <f t="shared" si="7"/>
        <v>0</v>
      </c>
      <c r="Z8" s="259">
        <f t="shared" si="7"/>
        <v>0</v>
      </c>
      <c r="AA8" s="348">
        <f t="shared" si="8"/>
        <v>0</v>
      </c>
      <c r="AB8" s="274">
        <f t="shared" si="13"/>
        <v>0</v>
      </c>
      <c r="AC8" s="230"/>
      <c r="AD8" s="319"/>
    </row>
    <row r="9" spans="1:34">
      <c r="A9" s="27"/>
      <c r="B9" s="5">
        <f t="shared" si="9"/>
        <v>43161</v>
      </c>
      <c r="C9" s="38">
        <f>C3+4</f>
        <v>43161</v>
      </c>
      <c r="D9" s="7">
        <f t="shared" ca="1" si="1"/>
        <v>-23</v>
      </c>
      <c r="E9" s="114" t="str">
        <f>IF(B9=0,"","Friday")</f>
        <v>Friday</v>
      </c>
      <c r="F9" s="55"/>
      <c r="G9" s="56"/>
      <c r="H9" s="56"/>
      <c r="I9" s="200"/>
      <c r="J9" s="56"/>
      <c r="K9" s="201" t="str">
        <f t="shared" si="14"/>
        <v/>
      </c>
      <c r="L9" s="56"/>
      <c r="M9" s="56" t="str">
        <f t="shared" si="10"/>
        <v/>
      </c>
      <c r="N9" s="324"/>
      <c r="O9" s="259">
        <f t="shared" si="3"/>
        <v>1919.7423506376053</v>
      </c>
      <c r="P9" s="260">
        <f t="shared" si="0"/>
        <v>59509.969402550421</v>
      </c>
      <c r="Q9" s="169">
        <f t="shared" si="4"/>
        <v>36.97778068204336</v>
      </c>
      <c r="R9" s="169">
        <f t="shared" si="11"/>
        <v>0</v>
      </c>
      <c r="S9" s="368" t="str">
        <f t="shared" si="12"/>
        <v/>
      </c>
      <c r="T9" s="169"/>
      <c r="U9" s="169"/>
      <c r="V9" s="170" t="str">
        <f t="shared" si="5"/>
        <v/>
      </c>
      <c r="W9" s="170" t="str">
        <f t="shared" si="6"/>
        <v/>
      </c>
      <c r="X9" s="259">
        <f t="shared" si="7"/>
        <v>0</v>
      </c>
      <c r="Y9" s="259">
        <f t="shared" si="7"/>
        <v>0</v>
      </c>
      <c r="Z9" s="259">
        <f t="shared" si="7"/>
        <v>0</v>
      </c>
      <c r="AA9" s="348">
        <f t="shared" si="8"/>
        <v>0</v>
      </c>
      <c r="AB9" s="274">
        <f t="shared" si="13"/>
        <v>0</v>
      </c>
      <c r="AC9" s="230"/>
      <c r="AD9" s="319"/>
    </row>
    <row r="10" spans="1:34">
      <c r="A10" s="27"/>
      <c r="B10" s="5">
        <f t="shared" si="9"/>
        <v>43162</v>
      </c>
      <c r="C10" s="38">
        <f>C3+5</f>
        <v>43162</v>
      </c>
      <c r="D10" s="7">
        <f t="shared" ca="1" si="1"/>
        <v>-24</v>
      </c>
      <c r="E10" s="114" t="str">
        <f>IF(B10=0,"","Saturday")</f>
        <v>Saturday</v>
      </c>
      <c r="F10" s="55"/>
      <c r="G10" s="56"/>
      <c r="H10" s="56"/>
      <c r="I10" s="200"/>
      <c r="J10" s="56"/>
      <c r="K10" s="201" t="str">
        <f t="shared" si="14"/>
        <v/>
      </c>
      <c r="L10" s="56"/>
      <c r="M10" s="56" t="str">
        <f t="shared" si="10"/>
        <v/>
      </c>
      <c r="N10" s="324"/>
      <c r="O10" s="259">
        <f t="shared" si="3"/>
        <v>1919.7423506376053</v>
      </c>
      <c r="P10" s="260">
        <f t="shared" si="0"/>
        <v>59509.969402550421</v>
      </c>
      <c r="Q10" s="169">
        <f t="shared" si="4"/>
        <v>36.97778068204336</v>
      </c>
      <c r="R10" s="169">
        <f t="shared" si="11"/>
        <v>0</v>
      </c>
      <c r="S10" s="368" t="str">
        <f t="shared" si="12"/>
        <v/>
      </c>
      <c r="T10" s="169"/>
      <c r="U10" s="169"/>
      <c r="V10" s="170" t="str">
        <f t="shared" si="5"/>
        <v/>
      </c>
      <c r="W10" s="170" t="str">
        <f t="shared" si="6"/>
        <v/>
      </c>
      <c r="X10" s="259">
        <f t="shared" si="7"/>
        <v>0</v>
      </c>
      <c r="Y10" s="259">
        <f t="shared" si="7"/>
        <v>0</v>
      </c>
      <c r="Z10" s="259">
        <f t="shared" si="7"/>
        <v>0</v>
      </c>
      <c r="AA10" s="348">
        <f t="shared" si="8"/>
        <v>0</v>
      </c>
      <c r="AB10" s="274">
        <f t="shared" si="13"/>
        <v>0</v>
      </c>
      <c r="AC10" s="230"/>
      <c r="AD10" s="319"/>
    </row>
    <row r="11" spans="1:34" ht="15.75" customHeight="1" thickBot="1">
      <c r="A11" s="27"/>
      <c r="B11" s="53">
        <f t="shared" si="9"/>
        <v>43163</v>
      </c>
      <c r="C11" s="41">
        <f>C3+6</f>
        <v>43163</v>
      </c>
      <c r="D11" s="54">
        <f t="shared" ca="1" si="1"/>
        <v>-25</v>
      </c>
      <c r="E11" s="117" t="str">
        <f>IF(B11=0,"","Sunday")</f>
        <v>Sunday</v>
      </c>
      <c r="F11" s="55"/>
      <c r="G11" s="56"/>
      <c r="H11" s="56"/>
      <c r="I11" s="200"/>
      <c r="J11" s="56"/>
      <c r="K11" s="201" t="str">
        <f t="shared" si="14"/>
        <v/>
      </c>
      <c r="L11" s="56"/>
      <c r="M11" s="56" t="str">
        <f t="shared" si="10"/>
        <v/>
      </c>
      <c r="N11" s="326"/>
      <c r="O11" s="259">
        <f t="shared" si="3"/>
        <v>1919.7423506376053</v>
      </c>
      <c r="P11" s="260">
        <f t="shared" si="0"/>
        <v>59509.969402550421</v>
      </c>
      <c r="Q11" s="169">
        <f t="shared" si="4"/>
        <v>36.97778068204336</v>
      </c>
      <c r="R11" s="169">
        <f t="shared" si="11"/>
        <v>0</v>
      </c>
      <c r="S11" s="368" t="str">
        <f t="shared" si="12"/>
        <v/>
      </c>
      <c r="T11" s="169"/>
      <c r="U11" s="169"/>
      <c r="V11" s="170" t="str">
        <f t="shared" si="5"/>
        <v/>
      </c>
      <c r="W11" s="170" t="str">
        <f t="shared" si="6"/>
        <v/>
      </c>
      <c r="X11" s="259">
        <f t="shared" si="7"/>
        <v>0</v>
      </c>
      <c r="Y11" s="259">
        <f t="shared" si="7"/>
        <v>0</v>
      </c>
      <c r="Z11" s="259">
        <f t="shared" si="7"/>
        <v>0</v>
      </c>
      <c r="AA11" s="348">
        <f t="shared" si="8"/>
        <v>0</v>
      </c>
      <c r="AB11" s="274">
        <f t="shared" si="13"/>
        <v>0</v>
      </c>
      <c r="AC11" s="230"/>
      <c r="AD11" s="319"/>
    </row>
    <row r="12" spans="1:34" ht="16" thickTop="1">
      <c r="A12" s="29"/>
      <c r="B12" s="16"/>
      <c r="C12" s="42"/>
      <c r="D12" s="60">
        <f ca="1">TODAY()-C12</f>
        <v>43138</v>
      </c>
      <c r="E12" s="113" t="s">
        <v>76</v>
      </c>
      <c r="F12" s="59">
        <f ca="1">G12*0.000568181818</f>
        <v>0</v>
      </c>
      <c r="G12" s="19">
        <f ca="1">H12*1.0936113</f>
        <v>0</v>
      </c>
      <c r="H12" s="129">
        <f ca="1">IF(TODAY()&gt;=B5,AA11*1000,-2E-55)</f>
        <v>0</v>
      </c>
      <c r="I12" s="135"/>
      <c r="J12" s="443" t="s">
        <v>121</v>
      </c>
      <c r="K12" s="444"/>
      <c r="L12" s="444"/>
      <c r="M12" s="444"/>
      <c r="N12" s="444"/>
      <c r="O12" s="259" t="str">
        <f t="shared" si="3"/>
        <v/>
      </c>
      <c r="P12" s="260"/>
      <c r="Q12" s="169">
        <f t="shared" si="4"/>
        <v>0</v>
      </c>
      <c r="R12" s="350"/>
      <c r="S12" s="368" t="str">
        <f t="shared" si="12"/>
        <v/>
      </c>
      <c r="T12" s="350"/>
      <c r="U12" s="350"/>
      <c r="V12" s="350"/>
      <c r="W12" s="350"/>
      <c r="X12" s="260"/>
      <c r="Y12" s="260"/>
      <c r="Z12" s="234"/>
      <c r="AA12" s="348">
        <f t="shared" si="8"/>
        <v>0</v>
      </c>
      <c r="AB12" s="274">
        <f t="shared" si="13"/>
        <v>0</v>
      </c>
      <c r="AC12" s="230"/>
      <c r="AD12" s="319"/>
    </row>
    <row r="13" spans="1:34" ht="16" thickBot="1">
      <c r="A13" s="28"/>
      <c r="B13" s="17"/>
      <c r="C13" s="39"/>
      <c r="D13" s="61">
        <f ca="1">TODAY()-C13</f>
        <v>43138</v>
      </c>
      <c r="E13" s="116" t="s">
        <v>33</v>
      </c>
      <c r="F13" s="62">
        <f>G13*0.0005681818</f>
        <v>4.771481501280423</v>
      </c>
      <c r="G13" s="63">
        <f>H13*1.0936113</f>
        <v>8397.8077109833903</v>
      </c>
      <c r="H13" s="130">
        <f>SUM($O5:$O11)</f>
        <v>7678.9694025504214</v>
      </c>
      <c r="I13" s="136"/>
      <c r="J13" s="445" t="str">
        <f>IF(R$2=1,"MILES &amp; mph",IF(R$2=2,"YARDS &amp; mph",IF(R$2=3,"METRES &amp; km/h","????")))</f>
        <v>MILES &amp; mph</v>
      </c>
      <c r="K13" s="446"/>
      <c r="L13" s="446"/>
      <c r="M13" s="446"/>
      <c r="N13" s="446"/>
      <c r="O13" s="259" t="str">
        <f t="shared" si="3"/>
        <v/>
      </c>
      <c r="P13" s="260"/>
      <c r="Q13" s="169">
        <f t="shared" si="4"/>
        <v>0</v>
      </c>
      <c r="R13" s="351"/>
      <c r="S13" s="368" t="str">
        <f t="shared" si="12"/>
        <v/>
      </c>
      <c r="T13" s="351"/>
      <c r="U13" s="351"/>
      <c r="V13" s="351"/>
      <c r="W13" s="351"/>
      <c r="X13" s="260"/>
      <c r="Y13" s="260"/>
      <c r="Z13" s="234"/>
      <c r="AA13" s="348">
        <f t="shared" si="8"/>
        <v>0</v>
      </c>
      <c r="AB13" s="274">
        <f t="shared" si="13"/>
        <v>0</v>
      </c>
      <c r="AC13" s="230"/>
      <c r="AD13" s="319"/>
    </row>
    <row r="14" spans="1:34" ht="16" thickTop="1">
      <c r="A14" s="1" t="s">
        <v>9</v>
      </c>
      <c r="B14" s="57">
        <f t="shared" ref="B14:B20" si="15">IF(B$2&gt;C14,0,C14)</f>
        <v>43164</v>
      </c>
      <c r="C14" s="40">
        <f>C11+1</f>
        <v>43164</v>
      </c>
      <c r="D14" s="22">
        <f t="shared" ca="1" si="1"/>
        <v>-26</v>
      </c>
      <c r="E14" s="118" t="s">
        <v>1</v>
      </c>
      <c r="F14" s="55"/>
      <c r="G14" s="56"/>
      <c r="H14" s="56"/>
      <c r="I14" s="136"/>
      <c r="J14" s="128"/>
      <c r="K14" s="201" t="str">
        <f t="shared" ref="K14" si="16">IF(R14=0,"",IF(L14="","",J14))</f>
        <v/>
      </c>
      <c r="L14" s="128"/>
      <c r="M14" s="56" t="str">
        <f>IF(R14=0,"",IF(J14="","",L14))</f>
        <v/>
      </c>
      <c r="N14" s="327"/>
      <c r="O14" s="259">
        <f t="shared" si="3"/>
        <v>1919.7423506376053</v>
      </c>
      <c r="P14" s="260">
        <f t="shared" ref="P14:P20" si="17">H$56</f>
        <v>59509.969402550421</v>
      </c>
      <c r="Q14" s="169">
        <f t="shared" si="4"/>
        <v>36.97778068204336</v>
      </c>
      <c r="R14" s="169">
        <f>IF(R$2=3,H14+G14/1.0936133+F14/0.0006213712,IF(R$2=2,H14*1.0936133+G14+F14/0.0005681818,IF(R$2=1,H14*0.0005681818*1.0936133+G14*0.0005681818+F14,"")))</f>
        <v>0</v>
      </c>
      <c r="S14" s="368" t="str">
        <f t="shared" si="12"/>
        <v/>
      </c>
      <c r="T14" s="169"/>
      <c r="U14" s="169"/>
      <c r="V14" s="170" t="str">
        <f t="shared" ref="V14:V20" si="18">IF(L14="","",IF(R14=0,"",IF(B14=0,"",IF($R$2=3,R14/L14*60/1000,IF($R$2=2,R14/L14*60/1760,IF($R$2=1,R14/L14*60,""))))))</f>
        <v/>
      </c>
      <c r="W14" s="170" t="str">
        <f t="shared" ref="W14:W20" si="19">IF(R14=0,"",IF(L14="","",V14*L14))</f>
        <v/>
      </c>
      <c r="X14" s="259">
        <f>F14+X11</f>
        <v>0</v>
      </c>
      <c r="Y14" s="259">
        <f>G14+Y11</f>
        <v>0</v>
      </c>
      <c r="Z14" s="259">
        <f>H14+Z11</f>
        <v>0</v>
      </c>
      <c r="AA14" s="348">
        <f t="shared" si="8"/>
        <v>0</v>
      </c>
      <c r="AB14" s="274">
        <f t="shared" si="13"/>
        <v>0</v>
      </c>
      <c r="AC14" s="230"/>
      <c r="AD14" s="319"/>
    </row>
    <row r="15" spans="1:34">
      <c r="A15" s="1"/>
      <c r="B15" s="5">
        <f t="shared" si="15"/>
        <v>43165</v>
      </c>
      <c r="C15" s="38">
        <f t="shared" ref="C15:C20" si="20">C14+1</f>
        <v>43165</v>
      </c>
      <c r="D15" s="7">
        <f t="shared" ca="1" si="1"/>
        <v>-27</v>
      </c>
      <c r="E15" s="114" t="s">
        <v>2</v>
      </c>
      <c r="F15" s="55"/>
      <c r="G15" s="56"/>
      <c r="H15" s="56"/>
      <c r="I15" s="200"/>
      <c r="J15" s="56"/>
      <c r="K15" s="201" t="str">
        <f>IF(R15=0,"",IF(L15="","",J15))</f>
        <v/>
      </c>
      <c r="L15" s="56"/>
      <c r="M15" s="56" t="str">
        <f t="shared" ref="M15:M20" si="21">IF(R15=0,"",IF(J15="","",L15))</f>
        <v/>
      </c>
      <c r="N15" s="324"/>
      <c r="O15" s="259">
        <f t="shared" si="3"/>
        <v>1919.7423506376053</v>
      </c>
      <c r="P15" s="260">
        <f t="shared" si="17"/>
        <v>59509.969402550421</v>
      </c>
      <c r="Q15" s="169">
        <f t="shared" si="4"/>
        <v>36.97778068204336</v>
      </c>
      <c r="R15" s="169">
        <f t="shared" ref="R15:R20" si="22">IF(R$2=3,H15+G15/1.0936133+F15/0.0006213712,IF(R$2=2,H15*1.0936133+G15+F15/0.0005681818,IF(R$2=1,H15*0.0005681818*1.0936133+G15*0.0005681818+F15,"")))</f>
        <v>0</v>
      </c>
      <c r="S15" s="368" t="str">
        <f t="shared" si="12"/>
        <v/>
      </c>
      <c r="T15" s="169"/>
      <c r="U15" s="169"/>
      <c r="V15" s="170" t="str">
        <f t="shared" si="18"/>
        <v/>
      </c>
      <c r="W15" s="170" t="str">
        <f t="shared" si="19"/>
        <v/>
      </c>
      <c r="X15" s="259">
        <f t="shared" ref="X15:Z20" si="23">F15+X14</f>
        <v>0</v>
      </c>
      <c r="Y15" s="259">
        <f t="shared" si="23"/>
        <v>0</v>
      </c>
      <c r="Z15" s="259">
        <f t="shared" si="23"/>
        <v>0</v>
      </c>
      <c r="AA15" s="348">
        <f t="shared" si="8"/>
        <v>0</v>
      </c>
      <c r="AB15" s="274">
        <f t="shared" si="13"/>
        <v>0</v>
      </c>
      <c r="AC15" s="230"/>
      <c r="AD15" s="319"/>
    </row>
    <row r="16" spans="1:34">
      <c r="A16" s="1"/>
      <c r="B16" s="5">
        <f t="shared" si="15"/>
        <v>43166</v>
      </c>
      <c r="C16" s="38">
        <f t="shared" si="20"/>
        <v>43166</v>
      </c>
      <c r="D16" s="7">
        <f t="shared" ca="1" si="1"/>
        <v>-28</v>
      </c>
      <c r="E16" s="114" t="s">
        <v>3</v>
      </c>
      <c r="F16" s="55"/>
      <c r="G16" s="56"/>
      <c r="H16" s="56"/>
      <c r="I16" s="200"/>
      <c r="J16" s="56"/>
      <c r="K16" s="201" t="str">
        <f t="shared" ref="K16:K20" si="24">IF(R16=0,"",IF(L16="","",J16))</f>
        <v/>
      </c>
      <c r="L16" s="56"/>
      <c r="M16" s="56" t="str">
        <f t="shared" si="21"/>
        <v/>
      </c>
      <c r="N16" s="324"/>
      <c r="O16" s="259">
        <f t="shared" si="3"/>
        <v>1919.7423506376053</v>
      </c>
      <c r="P16" s="260">
        <f t="shared" si="17"/>
        <v>59509.969402550421</v>
      </c>
      <c r="Q16" s="169">
        <f t="shared" si="4"/>
        <v>36.97778068204336</v>
      </c>
      <c r="R16" s="169">
        <f t="shared" si="22"/>
        <v>0</v>
      </c>
      <c r="S16" s="368" t="str">
        <f t="shared" si="12"/>
        <v/>
      </c>
      <c r="T16" s="169"/>
      <c r="U16" s="169"/>
      <c r="V16" s="170" t="str">
        <f t="shared" si="18"/>
        <v/>
      </c>
      <c r="W16" s="170" t="str">
        <f t="shared" si="19"/>
        <v/>
      </c>
      <c r="X16" s="259">
        <f t="shared" si="23"/>
        <v>0</v>
      </c>
      <c r="Y16" s="259">
        <f t="shared" si="23"/>
        <v>0</v>
      </c>
      <c r="Z16" s="259">
        <f t="shared" si="23"/>
        <v>0</v>
      </c>
      <c r="AA16" s="348">
        <f t="shared" si="8"/>
        <v>0</v>
      </c>
      <c r="AB16" s="274">
        <f t="shared" si="13"/>
        <v>0</v>
      </c>
      <c r="AC16" s="230"/>
      <c r="AD16" s="319"/>
    </row>
    <row r="17" spans="1:30">
      <c r="A17" s="1"/>
      <c r="B17" s="5">
        <f t="shared" si="15"/>
        <v>43167</v>
      </c>
      <c r="C17" s="38">
        <f t="shared" si="20"/>
        <v>43167</v>
      </c>
      <c r="D17" s="7">
        <f t="shared" ca="1" si="1"/>
        <v>-29</v>
      </c>
      <c r="E17" s="114" t="s">
        <v>4</v>
      </c>
      <c r="F17" s="55"/>
      <c r="G17" s="56"/>
      <c r="H17" s="56"/>
      <c r="I17" s="200"/>
      <c r="J17" s="56"/>
      <c r="K17" s="201" t="str">
        <f t="shared" si="24"/>
        <v/>
      </c>
      <c r="L17" s="56"/>
      <c r="M17" s="56" t="str">
        <f t="shared" si="21"/>
        <v/>
      </c>
      <c r="N17" s="324"/>
      <c r="O17" s="259">
        <f t="shared" si="3"/>
        <v>1919.7423506376053</v>
      </c>
      <c r="P17" s="260">
        <f t="shared" si="17"/>
        <v>59509.969402550421</v>
      </c>
      <c r="Q17" s="169">
        <f t="shared" si="4"/>
        <v>36.97778068204336</v>
      </c>
      <c r="R17" s="169">
        <f t="shared" si="22"/>
        <v>0</v>
      </c>
      <c r="S17" s="368" t="str">
        <f t="shared" si="12"/>
        <v/>
      </c>
      <c r="T17" s="169"/>
      <c r="U17" s="169"/>
      <c r="V17" s="170" t="str">
        <f t="shared" si="18"/>
        <v/>
      </c>
      <c r="W17" s="170" t="str">
        <f t="shared" si="19"/>
        <v/>
      </c>
      <c r="X17" s="259">
        <f t="shared" si="23"/>
        <v>0</v>
      </c>
      <c r="Y17" s="259">
        <f t="shared" si="23"/>
        <v>0</v>
      </c>
      <c r="Z17" s="259">
        <f t="shared" si="23"/>
        <v>0</v>
      </c>
      <c r="AA17" s="348">
        <f t="shared" si="8"/>
        <v>0</v>
      </c>
      <c r="AB17" s="274">
        <f t="shared" si="13"/>
        <v>0</v>
      </c>
      <c r="AC17" s="230"/>
      <c r="AD17" s="319"/>
    </row>
    <row r="18" spans="1:30">
      <c r="A18" s="1"/>
      <c r="B18" s="5">
        <f t="shared" si="15"/>
        <v>43168</v>
      </c>
      <c r="C18" s="38">
        <f t="shared" si="20"/>
        <v>43168</v>
      </c>
      <c r="D18" s="7">
        <f t="shared" ca="1" si="1"/>
        <v>-30</v>
      </c>
      <c r="E18" s="114" t="s">
        <v>5</v>
      </c>
      <c r="F18" s="55"/>
      <c r="G18" s="56"/>
      <c r="H18" s="56"/>
      <c r="I18" s="200"/>
      <c r="J18" s="56"/>
      <c r="K18" s="201" t="str">
        <f t="shared" si="24"/>
        <v/>
      </c>
      <c r="L18" s="56"/>
      <c r="M18" s="56" t="str">
        <f t="shared" si="21"/>
        <v/>
      </c>
      <c r="N18" s="324"/>
      <c r="O18" s="259">
        <f t="shared" si="3"/>
        <v>1919.7423506376053</v>
      </c>
      <c r="P18" s="260">
        <f t="shared" si="17"/>
        <v>59509.969402550421</v>
      </c>
      <c r="Q18" s="169">
        <f t="shared" si="4"/>
        <v>36.97778068204336</v>
      </c>
      <c r="R18" s="169">
        <f t="shared" si="22"/>
        <v>0</v>
      </c>
      <c r="S18" s="368" t="str">
        <f t="shared" si="12"/>
        <v/>
      </c>
      <c r="T18" s="169"/>
      <c r="U18" s="169"/>
      <c r="V18" s="170" t="str">
        <f t="shared" si="18"/>
        <v/>
      </c>
      <c r="W18" s="170" t="str">
        <f t="shared" si="19"/>
        <v/>
      </c>
      <c r="X18" s="259">
        <f t="shared" si="23"/>
        <v>0</v>
      </c>
      <c r="Y18" s="259">
        <f t="shared" si="23"/>
        <v>0</v>
      </c>
      <c r="Z18" s="259">
        <f t="shared" si="23"/>
        <v>0</v>
      </c>
      <c r="AA18" s="348">
        <f t="shared" si="8"/>
        <v>0</v>
      </c>
      <c r="AB18" s="274">
        <f t="shared" si="13"/>
        <v>0</v>
      </c>
      <c r="AC18" s="230"/>
      <c r="AD18" s="319"/>
    </row>
    <row r="19" spans="1:30">
      <c r="A19" s="1"/>
      <c r="B19" s="5">
        <f t="shared" si="15"/>
        <v>43169</v>
      </c>
      <c r="C19" s="38">
        <f t="shared" si="20"/>
        <v>43169</v>
      </c>
      <c r="D19" s="7">
        <f t="shared" ca="1" si="1"/>
        <v>-31</v>
      </c>
      <c r="E19" s="114" t="s">
        <v>6</v>
      </c>
      <c r="F19" s="55"/>
      <c r="G19" s="56"/>
      <c r="H19" s="56"/>
      <c r="I19" s="200"/>
      <c r="J19" s="56"/>
      <c r="K19" s="201" t="str">
        <f t="shared" si="24"/>
        <v/>
      </c>
      <c r="L19" s="56"/>
      <c r="M19" s="56" t="str">
        <f t="shared" si="21"/>
        <v/>
      </c>
      <c r="N19" s="324"/>
      <c r="O19" s="259">
        <f t="shared" si="3"/>
        <v>1919.7423506376053</v>
      </c>
      <c r="P19" s="260">
        <f t="shared" si="17"/>
        <v>59509.969402550421</v>
      </c>
      <c r="Q19" s="169">
        <f t="shared" si="4"/>
        <v>36.97778068204336</v>
      </c>
      <c r="R19" s="169">
        <f t="shared" si="22"/>
        <v>0</v>
      </c>
      <c r="S19" s="368" t="str">
        <f t="shared" si="12"/>
        <v/>
      </c>
      <c r="T19" s="169"/>
      <c r="U19" s="169"/>
      <c r="V19" s="170" t="str">
        <f t="shared" si="18"/>
        <v/>
      </c>
      <c r="W19" s="170" t="str">
        <f t="shared" si="19"/>
        <v/>
      </c>
      <c r="X19" s="259">
        <f t="shared" si="23"/>
        <v>0</v>
      </c>
      <c r="Y19" s="259">
        <f t="shared" si="23"/>
        <v>0</v>
      </c>
      <c r="Z19" s="259">
        <f t="shared" si="23"/>
        <v>0</v>
      </c>
      <c r="AA19" s="348">
        <f t="shared" si="8"/>
        <v>0</v>
      </c>
      <c r="AB19" s="274">
        <f t="shared" si="13"/>
        <v>0</v>
      </c>
      <c r="AC19" s="230"/>
      <c r="AD19" s="319"/>
    </row>
    <row r="20" spans="1:30" ht="16" thickBot="1">
      <c r="A20" s="1"/>
      <c r="B20" s="53">
        <f t="shared" si="15"/>
        <v>43170</v>
      </c>
      <c r="C20" s="41">
        <f t="shared" si="20"/>
        <v>43170</v>
      </c>
      <c r="D20" s="54">
        <f t="shared" ca="1" si="1"/>
        <v>-32</v>
      </c>
      <c r="E20" s="117" t="s">
        <v>7</v>
      </c>
      <c r="F20" s="55"/>
      <c r="G20" s="56"/>
      <c r="H20" s="56"/>
      <c r="I20" s="200"/>
      <c r="J20" s="56"/>
      <c r="K20" s="201" t="str">
        <f t="shared" si="24"/>
        <v/>
      </c>
      <c r="L20" s="56"/>
      <c r="M20" s="56" t="str">
        <f t="shared" si="21"/>
        <v/>
      </c>
      <c r="N20" s="329"/>
      <c r="O20" s="259">
        <f t="shared" si="3"/>
        <v>1919.7423506376053</v>
      </c>
      <c r="P20" s="260">
        <f t="shared" si="17"/>
        <v>59509.969402550421</v>
      </c>
      <c r="Q20" s="169">
        <f t="shared" si="4"/>
        <v>36.97778068204336</v>
      </c>
      <c r="R20" s="169">
        <f t="shared" si="22"/>
        <v>0</v>
      </c>
      <c r="S20" s="368" t="str">
        <f t="shared" si="12"/>
        <v/>
      </c>
      <c r="T20" s="169"/>
      <c r="U20" s="169"/>
      <c r="V20" s="170" t="str">
        <f t="shared" si="18"/>
        <v/>
      </c>
      <c r="W20" s="170" t="str">
        <f t="shared" si="19"/>
        <v/>
      </c>
      <c r="X20" s="259">
        <f t="shared" si="23"/>
        <v>0</v>
      </c>
      <c r="Y20" s="259">
        <f t="shared" si="23"/>
        <v>0</v>
      </c>
      <c r="Z20" s="259">
        <f t="shared" si="23"/>
        <v>0</v>
      </c>
      <c r="AA20" s="348">
        <f t="shared" si="8"/>
        <v>0</v>
      </c>
      <c r="AB20" s="274">
        <f t="shared" si="13"/>
        <v>0</v>
      </c>
      <c r="AC20" s="230"/>
      <c r="AD20" s="319"/>
    </row>
    <row r="21" spans="1:30" ht="16" thickTop="1">
      <c r="A21" s="29"/>
      <c r="B21" s="16"/>
      <c r="C21" s="42"/>
      <c r="D21" s="60">
        <f ca="1">TODAY()-C21</f>
        <v>43138</v>
      </c>
      <c r="E21" s="113" t="s">
        <v>76</v>
      </c>
      <c r="F21" s="59">
        <f ca="1">G21*0.000568181818</f>
        <v>-1.2427401132386871E-58</v>
      </c>
      <c r="G21" s="19">
        <f ca="1">H21*1.0936113</f>
        <v>-2.1872226000000002E-55</v>
      </c>
      <c r="H21" s="129">
        <f ca="1">IF(TODAY()&gt;=B14,(AA20-AA11)*1000,-2E-55)</f>
        <v>-2E-55</v>
      </c>
      <c r="I21" s="152"/>
      <c r="J21" s="447" t="str">
        <f>IF(R21=0,"",#REF!)</f>
        <v/>
      </c>
      <c r="K21" s="448"/>
      <c r="L21" s="448"/>
      <c r="M21" s="448"/>
      <c r="N21" s="448"/>
      <c r="O21" s="259" t="str">
        <f t="shared" si="3"/>
        <v/>
      </c>
      <c r="P21" s="260"/>
      <c r="Q21" s="169">
        <f t="shared" si="4"/>
        <v>0</v>
      </c>
      <c r="R21" s="350"/>
      <c r="S21" s="368" t="str">
        <f t="shared" si="12"/>
        <v/>
      </c>
      <c r="T21" s="350"/>
      <c r="U21" s="350"/>
      <c r="V21" s="350"/>
      <c r="W21" s="350"/>
      <c r="X21" s="234"/>
      <c r="Y21" s="234"/>
      <c r="Z21" s="234"/>
      <c r="AA21" s="348">
        <f t="shared" si="8"/>
        <v>0</v>
      </c>
      <c r="AB21" s="274">
        <f t="shared" si="13"/>
        <v>0</v>
      </c>
      <c r="AC21" s="230"/>
      <c r="AD21" s="319"/>
    </row>
    <row r="22" spans="1:30" ht="16" thickBot="1">
      <c r="A22" s="28"/>
      <c r="B22" s="17"/>
      <c r="C22" s="39"/>
      <c r="D22" s="61">
        <f ca="1">TODAY()-C22</f>
        <v>43138</v>
      </c>
      <c r="E22" s="116" t="s">
        <v>33</v>
      </c>
      <c r="F22" s="62">
        <f>G22*0.0005681818</f>
        <v>8.3499705563236617</v>
      </c>
      <c r="G22" s="63">
        <f>H22*1.0936113</f>
        <v>14695.948649400001</v>
      </c>
      <c r="H22" s="131">
        <f>INT(SUM($O14:$O20))</f>
        <v>13438</v>
      </c>
      <c r="I22" s="153"/>
      <c r="J22" s="449"/>
      <c r="K22" s="451"/>
      <c r="L22" s="451"/>
      <c r="M22" s="451"/>
      <c r="N22" s="451"/>
      <c r="O22" s="259" t="str">
        <f t="shared" si="3"/>
        <v/>
      </c>
      <c r="P22" s="260"/>
      <c r="Q22" s="169">
        <f t="shared" si="4"/>
        <v>0</v>
      </c>
      <c r="R22" s="351"/>
      <c r="S22" s="368" t="str">
        <f t="shared" si="12"/>
        <v/>
      </c>
      <c r="T22" s="351"/>
      <c r="U22" s="351"/>
      <c r="V22" s="351"/>
      <c r="W22" s="351"/>
      <c r="X22" s="234"/>
      <c r="Y22" s="234"/>
      <c r="Z22" s="234"/>
      <c r="AA22" s="348">
        <f t="shared" si="8"/>
        <v>0</v>
      </c>
      <c r="AB22" s="274">
        <f t="shared" si="13"/>
        <v>0</v>
      </c>
      <c r="AC22" s="230"/>
      <c r="AD22" s="319"/>
    </row>
    <row r="23" spans="1:30" ht="16" thickTop="1">
      <c r="A23" s="1" t="s">
        <v>10</v>
      </c>
      <c r="B23" s="57">
        <f t="shared" ref="B23:B29" si="25">IF(B$2&gt;C23,0,C23)</f>
        <v>43171</v>
      </c>
      <c r="C23" s="40">
        <f>C20+1</f>
        <v>43171</v>
      </c>
      <c r="D23" s="22">
        <f t="shared" ca="1" si="1"/>
        <v>-33</v>
      </c>
      <c r="E23" s="118" t="s">
        <v>1</v>
      </c>
      <c r="F23" s="55"/>
      <c r="G23" s="56"/>
      <c r="H23" s="56"/>
      <c r="I23" s="200"/>
      <c r="J23" s="128"/>
      <c r="K23" s="201" t="str">
        <f t="shared" ref="K23" si="26">IF(R23=0,"",IF(L23="","",J23))</f>
        <v/>
      </c>
      <c r="L23" s="128"/>
      <c r="M23" s="56" t="str">
        <f>IF(R23=0,"",IF(J23="","",L23))</f>
        <v/>
      </c>
      <c r="N23" s="330"/>
      <c r="O23" s="259">
        <f t="shared" si="3"/>
        <v>1919.7423506376053</v>
      </c>
      <c r="P23" s="260">
        <f t="shared" ref="P23:P29" si="27">H$56</f>
        <v>59509.969402550421</v>
      </c>
      <c r="Q23" s="169">
        <f t="shared" si="4"/>
        <v>36.97778068204336</v>
      </c>
      <c r="R23" s="169">
        <f>IF(R$2=3,H23+G23/1.0936133+F23/0.0006213712,IF(R$2=2,H23*1.0936133+G23+F23/0.0005681818,IF(R$2=1,H23*0.0005681818*1.0936133+G23*0.0005681818+F23,"")))</f>
        <v>0</v>
      </c>
      <c r="S23" s="368" t="str">
        <f t="shared" si="12"/>
        <v/>
      </c>
      <c r="T23" s="169"/>
      <c r="U23" s="169"/>
      <c r="V23" s="170" t="str">
        <f t="shared" ref="V23:V29" si="28">IF(L23="","",IF(R23=0,"",IF(B23=0,"",IF($R$2=3,R23/L23*60/1000,IF($R$2=2,R23/L23*60/1760,IF($R$2=1,R23/L23*60,""))))))</f>
        <v/>
      </c>
      <c r="W23" s="170" t="str">
        <f t="shared" ref="W23:W29" si="29">IF(R23=0,"",IF(L23="","",V23*L23))</f>
        <v/>
      </c>
      <c r="X23" s="259">
        <f>F23+X20</f>
        <v>0</v>
      </c>
      <c r="Y23" s="259">
        <f>G23+Y20</f>
        <v>0</v>
      </c>
      <c r="Z23" s="259">
        <f>H23+Z20</f>
        <v>0</v>
      </c>
      <c r="AA23" s="348">
        <f t="shared" si="8"/>
        <v>0</v>
      </c>
      <c r="AB23" s="274">
        <f t="shared" si="13"/>
        <v>0</v>
      </c>
      <c r="AC23" s="230"/>
      <c r="AD23" s="319"/>
    </row>
    <row r="24" spans="1:30">
      <c r="A24" s="1"/>
      <c r="B24" s="5">
        <f t="shared" si="25"/>
        <v>43172</v>
      </c>
      <c r="C24" s="38">
        <f t="shared" ref="C24:C29" si="30">C23+1</f>
        <v>43172</v>
      </c>
      <c r="D24" s="7">
        <f t="shared" ca="1" si="1"/>
        <v>-34</v>
      </c>
      <c r="E24" s="114" t="s">
        <v>2</v>
      </c>
      <c r="F24" s="55"/>
      <c r="G24" s="56"/>
      <c r="H24" s="56"/>
      <c r="I24" s="200"/>
      <c r="J24" s="56"/>
      <c r="K24" s="201" t="str">
        <f>IF(R24=0,"",IF(L24="","",J24))</f>
        <v/>
      </c>
      <c r="L24" s="56"/>
      <c r="M24" s="56" t="str">
        <f t="shared" ref="M24:M29" si="31">IF(R24=0,"",IF(J24="","",L24))</f>
        <v/>
      </c>
      <c r="N24" s="324"/>
      <c r="O24" s="259">
        <f t="shared" si="3"/>
        <v>1919.7423506376053</v>
      </c>
      <c r="P24" s="260">
        <f t="shared" si="27"/>
        <v>59509.969402550421</v>
      </c>
      <c r="Q24" s="169">
        <f t="shared" si="4"/>
        <v>36.97778068204336</v>
      </c>
      <c r="R24" s="169">
        <f t="shared" ref="R24:R29" si="32">IF(R$2=3,H24+G24/1.0936133+F24/0.0006213712,IF(R$2=2,H24*1.0936133+G24+F24/0.0005681818,IF(R$2=1,H24*0.0005681818*1.0936133+G24*0.0005681818+F24,"")))</f>
        <v>0</v>
      </c>
      <c r="S24" s="368" t="str">
        <f t="shared" si="12"/>
        <v/>
      </c>
      <c r="T24" s="169"/>
      <c r="U24" s="169"/>
      <c r="V24" s="170" t="str">
        <f t="shared" si="28"/>
        <v/>
      </c>
      <c r="W24" s="170" t="str">
        <f t="shared" si="29"/>
        <v/>
      </c>
      <c r="X24" s="259">
        <f t="shared" ref="X24:Z29" si="33">F24+X23</f>
        <v>0</v>
      </c>
      <c r="Y24" s="259">
        <f t="shared" si="33"/>
        <v>0</v>
      </c>
      <c r="Z24" s="259">
        <f t="shared" si="33"/>
        <v>0</v>
      </c>
      <c r="AA24" s="348">
        <f t="shared" si="8"/>
        <v>0</v>
      </c>
      <c r="AB24" s="274">
        <f t="shared" si="13"/>
        <v>0</v>
      </c>
      <c r="AC24" s="230"/>
      <c r="AD24" s="319"/>
    </row>
    <row r="25" spans="1:30">
      <c r="A25" s="1"/>
      <c r="B25" s="5">
        <f t="shared" si="25"/>
        <v>43173</v>
      </c>
      <c r="C25" s="38">
        <f t="shared" si="30"/>
        <v>43173</v>
      </c>
      <c r="D25" s="7">
        <f t="shared" ca="1" si="1"/>
        <v>-35</v>
      </c>
      <c r="E25" s="114" t="s">
        <v>3</v>
      </c>
      <c r="F25" s="55"/>
      <c r="G25" s="56"/>
      <c r="H25" s="56"/>
      <c r="I25" s="200"/>
      <c r="J25" s="56"/>
      <c r="K25" s="201" t="str">
        <f t="shared" ref="K25:K29" si="34">IF(R25=0,"",IF(L25="","",J25))</f>
        <v/>
      </c>
      <c r="L25" s="56"/>
      <c r="M25" s="56" t="str">
        <f t="shared" si="31"/>
        <v/>
      </c>
      <c r="N25" s="324"/>
      <c r="O25" s="259">
        <f t="shared" si="3"/>
        <v>1919.7423506376053</v>
      </c>
      <c r="P25" s="260">
        <f t="shared" si="27"/>
        <v>59509.969402550421</v>
      </c>
      <c r="Q25" s="169">
        <f t="shared" si="4"/>
        <v>36.97778068204336</v>
      </c>
      <c r="R25" s="169">
        <f t="shared" si="32"/>
        <v>0</v>
      </c>
      <c r="S25" s="368" t="str">
        <f t="shared" si="12"/>
        <v/>
      </c>
      <c r="T25" s="169"/>
      <c r="U25" s="169"/>
      <c r="V25" s="170" t="str">
        <f t="shared" si="28"/>
        <v/>
      </c>
      <c r="W25" s="170" t="str">
        <f t="shared" si="29"/>
        <v/>
      </c>
      <c r="X25" s="259">
        <f t="shared" si="33"/>
        <v>0</v>
      </c>
      <c r="Y25" s="259">
        <f t="shared" si="33"/>
        <v>0</v>
      </c>
      <c r="Z25" s="259">
        <f t="shared" si="33"/>
        <v>0</v>
      </c>
      <c r="AA25" s="348">
        <f t="shared" si="8"/>
        <v>0</v>
      </c>
      <c r="AB25" s="274">
        <f t="shared" si="13"/>
        <v>0</v>
      </c>
      <c r="AC25" s="230"/>
      <c r="AD25" s="319"/>
    </row>
    <row r="26" spans="1:30">
      <c r="A26" s="1"/>
      <c r="B26" s="5">
        <f t="shared" si="25"/>
        <v>43174</v>
      </c>
      <c r="C26" s="38">
        <f t="shared" si="30"/>
        <v>43174</v>
      </c>
      <c r="D26" s="7">
        <f t="shared" ca="1" si="1"/>
        <v>-36</v>
      </c>
      <c r="E26" s="114" t="s">
        <v>4</v>
      </c>
      <c r="F26" s="55"/>
      <c r="G26" s="56"/>
      <c r="H26" s="56"/>
      <c r="I26" s="200"/>
      <c r="J26" s="56"/>
      <c r="K26" s="201" t="str">
        <f t="shared" si="34"/>
        <v/>
      </c>
      <c r="L26" s="56"/>
      <c r="M26" s="56" t="str">
        <f t="shared" si="31"/>
        <v/>
      </c>
      <c r="N26" s="324"/>
      <c r="O26" s="259">
        <f t="shared" si="3"/>
        <v>1919.7423506376053</v>
      </c>
      <c r="P26" s="260">
        <f t="shared" si="27"/>
        <v>59509.969402550421</v>
      </c>
      <c r="Q26" s="169">
        <f t="shared" si="4"/>
        <v>36.97778068204336</v>
      </c>
      <c r="R26" s="169">
        <f t="shared" si="32"/>
        <v>0</v>
      </c>
      <c r="S26" s="368" t="str">
        <f t="shared" si="12"/>
        <v/>
      </c>
      <c r="T26" s="169"/>
      <c r="U26" s="169"/>
      <c r="V26" s="170" t="str">
        <f t="shared" si="28"/>
        <v/>
      </c>
      <c r="W26" s="170" t="str">
        <f t="shared" si="29"/>
        <v/>
      </c>
      <c r="X26" s="259">
        <f t="shared" si="33"/>
        <v>0</v>
      </c>
      <c r="Y26" s="259">
        <f t="shared" si="33"/>
        <v>0</v>
      </c>
      <c r="Z26" s="259">
        <f t="shared" si="33"/>
        <v>0</v>
      </c>
      <c r="AA26" s="348">
        <f t="shared" si="8"/>
        <v>0</v>
      </c>
      <c r="AB26" s="274">
        <f t="shared" si="13"/>
        <v>0</v>
      </c>
      <c r="AC26" s="230"/>
      <c r="AD26" s="319"/>
    </row>
    <row r="27" spans="1:30">
      <c r="A27" s="1"/>
      <c r="B27" s="5">
        <f t="shared" si="25"/>
        <v>43175</v>
      </c>
      <c r="C27" s="38">
        <f t="shared" si="30"/>
        <v>43175</v>
      </c>
      <c r="D27" s="7">
        <f t="shared" ca="1" si="1"/>
        <v>-37</v>
      </c>
      <c r="E27" s="114" t="s">
        <v>5</v>
      </c>
      <c r="F27" s="55"/>
      <c r="G27" s="56"/>
      <c r="H27" s="56"/>
      <c r="I27" s="200"/>
      <c r="J27" s="56"/>
      <c r="K27" s="201" t="str">
        <f t="shared" si="34"/>
        <v/>
      </c>
      <c r="L27" s="56"/>
      <c r="M27" s="56" t="str">
        <f t="shared" si="31"/>
        <v/>
      </c>
      <c r="N27" s="324"/>
      <c r="O27" s="259">
        <f t="shared" si="3"/>
        <v>1919.7423506376053</v>
      </c>
      <c r="P27" s="260">
        <f t="shared" si="27"/>
        <v>59509.969402550421</v>
      </c>
      <c r="Q27" s="169">
        <f t="shared" si="4"/>
        <v>36.97778068204336</v>
      </c>
      <c r="R27" s="169">
        <f t="shared" si="32"/>
        <v>0</v>
      </c>
      <c r="S27" s="368" t="str">
        <f t="shared" si="12"/>
        <v/>
      </c>
      <c r="T27" s="169"/>
      <c r="U27" s="169"/>
      <c r="V27" s="170" t="str">
        <f t="shared" si="28"/>
        <v/>
      </c>
      <c r="W27" s="170" t="str">
        <f t="shared" si="29"/>
        <v/>
      </c>
      <c r="X27" s="259">
        <f t="shared" si="33"/>
        <v>0</v>
      </c>
      <c r="Y27" s="259">
        <f t="shared" si="33"/>
        <v>0</v>
      </c>
      <c r="Z27" s="259">
        <f t="shared" si="33"/>
        <v>0</v>
      </c>
      <c r="AA27" s="348">
        <f t="shared" si="8"/>
        <v>0</v>
      </c>
      <c r="AB27" s="274">
        <f t="shared" si="13"/>
        <v>0</v>
      </c>
      <c r="AC27" s="230"/>
      <c r="AD27" s="319"/>
    </row>
    <row r="28" spans="1:30">
      <c r="A28" s="1"/>
      <c r="B28" s="5">
        <f t="shared" si="25"/>
        <v>43176</v>
      </c>
      <c r="C28" s="38">
        <f t="shared" si="30"/>
        <v>43176</v>
      </c>
      <c r="D28" s="7">
        <f t="shared" ca="1" si="1"/>
        <v>-38</v>
      </c>
      <c r="E28" s="114" t="s">
        <v>6</v>
      </c>
      <c r="F28" s="55"/>
      <c r="G28" s="56"/>
      <c r="H28" s="56"/>
      <c r="I28" s="200"/>
      <c r="J28" s="56"/>
      <c r="K28" s="201" t="str">
        <f t="shared" si="34"/>
        <v/>
      </c>
      <c r="L28" s="56"/>
      <c r="M28" s="56" t="str">
        <f t="shared" si="31"/>
        <v/>
      </c>
      <c r="N28" s="324"/>
      <c r="O28" s="259">
        <f t="shared" si="3"/>
        <v>1919.7423506376053</v>
      </c>
      <c r="P28" s="260">
        <f t="shared" si="27"/>
        <v>59509.969402550421</v>
      </c>
      <c r="Q28" s="169">
        <f t="shared" si="4"/>
        <v>36.97778068204336</v>
      </c>
      <c r="R28" s="169">
        <f t="shared" si="32"/>
        <v>0</v>
      </c>
      <c r="S28" s="368" t="str">
        <f t="shared" si="12"/>
        <v/>
      </c>
      <c r="T28" s="169"/>
      <c r="U28" s="169"/>
      <c r="V28" s="170" t="str">
        <f t="shared" si="28"/>
        <v/>
      </c>
      <c r="W28" s="170" t="str">
        <f t="shared" si="29"/>
        <v/>
      </c>
      <c r="X28" s="259">
        <f t="shared" si="33"/>
        <v>0</v>
      </c>
      <c r="Y28" s="259">
        <f t="shared" si="33"/>
        <v>0</v>
      </c>
      <c r="Z28" s="259">
        <f t="shared" si="33"/>
        <v>0</v>
      </c>
      <c r="AA28" s="348">
        <f t="shared" si="8"/>
        <v>0</v>
      </c>
      <c r="AB28" s="274">
        <f t="shared" si="13"/>
        <v>0</v>
      </c>
      <c r="AC28" s="230"/>
      <c r="AD28" s="319"/>
    </row>
    <row r="29" spans="1:30" ht="16" thickBot="1">
      <c r="A29" s="1"/>
      <c r="B29" s="53">
        <f t="shared" si="25"/>
        <v>43177</v>
      </c>
      <c r="C29" s="41">
        <f t="shared" si="30"/>
        <v>43177</v>
      </c>
      <c r="D29" s="54">
        <f t="shared" ca="1" si="1"/>
        <v>-39</v>
      </c>
      <c r="E29" s="117" t="s">
        <v>7</v>
      </c>
      <c r="F29" s="55"/>
      <c r="G29" s="56"/>
      <c r="H29" s="56"/>
      <c r="I29" s="200"/>
      <c r="J29" s="56"/>
      <c r="K29" s="201" t="str">
        <f t="shared" si="34"/>
        <v/>
      </c>
      <c r="L29" s="56"/>
      <c r="M29" s="56" t="str">
        <f t="shared" si="31"/>
        <v/>
      </c>
      <c r="N29" s="329"/>
      <c r="O29" s="259">
        <f t="shared" si="3"/>
        <v>1919.7423506376053</v>
      </c>
      <c r="P29" s="260">
        <f t="shared" si="27"/>
        <v>59509.969402550421</v>
      </c>
      <c r="Q29" s="169">
        <f t="shared" si="4"/>
        <v>36.97778068204336</v>
      </c>
      <c r="R29" s="169">
        <f t="shared" si="32"/>
        <v>0</v>
      </c>
      <c r="S29" s="368" t="str">
        <f t="shared" si="12"/>
        <v/>
      </c>
      <c r="T29" s="169"/>
      <c r="U29" s="169"/>
      <c r="V29" s="170" t="str">
        <f t="shared" si="28"/>
        <v/>
      </c>
      <c r="W29" s="170" t="str">
        <f t="shared" si="29"/>
        <v/>
      </c>
      <c r="X29" s="259">
        <f t="shared" si="33"/>
        <v>0</v>
      </c>
      <c r="Y29" s="259">
        <f t="shared" si="33"/>
        <v>0</v>
      </c>
      <c r="Z29" s="259">
        <f t="shared" si="33"/>
        <v>0</v>
      </c>
      <c r="AA29" s="348">
        <f t="shared" si="8"/>
        <v>0</v>
      </c>
      <c r="AB29" s="274">
        <f t="shared" si="13"/>
        <v>0</v>
      </c>
      <c r="AC29" s="230"/>
      <c r="AD29" s="319"/>
    </row>
    <row r="30" spans="1:30" ht="16" thickTop="1">
      <c r="A30" s="29"/>
      <c r="B30" s="16"/>
      <c r="C30" s="42"/>
      <c r="D30" s="60">
        <f ca="1">TODAY()-C30</f>
        <v>43138</v>
      </c>
      <c r="E30" s="113" t="s">
        <v>76</v>
      </c>
      <c r="F30" s="59">
        <f ca="1">G30*0.000568181818</f>
        <v>-1.2427401132386871E-58</v>
      </c>
      <c r="G30" s="19">
        <f ca="1">H30*1.0936113</f>
        <v>-2.1872226000000002E-55</v>
      </c>
      <c r="H30" s="129">
        <f ca="1">IF(TODAY()&gt;=B23,(AA29-AA20)*1000,-2E-55)</f>
        <v>-2E-55</v>
      </c>
      <c r="I30" s="152"/>
      <c r="J30" s="424" t="s">
        <v>121</v>
      </c>
      <c r="K30" s="452"/>
      <c r="L30" s="452"/>
      <c r="M30" s="453"/>
      <c r="N30" s="453"/>
      <c r="O30" s="259" t="str">
        <f t="shared" si="3"/>
        <v/>
      </c>
      <c r="P30" s="260"/>
      <c r="Q30" s="169">
        <f t="shared" si="4"/>
        <v>0</v>
      </c>
      <c r="R30" s="350"/>
      <c r="S30" s="368" t="str">
        <f t="shared" si="12"/>
        <v/>
      </c>
      <c r="T30" s="350"/>
      <c r="U30" s="350"/>
      <c r="V30" s="350"/>
      <c r="W30" s="350"/>
      <c r="X30" s="234"/>
      <c r="Y30" s="234"/>
      <c r="Z30" s="234"/>
      <c r="AA30" s="348">
        <f t="shared" si="8"/>
        <v>0</v>
      </c>
      <c r="AB30" s="274">
        <f t="shared" si="13"/>
        <v>0</v>
      </c>
      <c r="AC30" s="230"/>
      <c r="AD30" s="319"/>
    </row>
    <row r="31" spans="1:30" ht="19" thickBot="1">
      <c r="A31" s="28"/>
      <c r="B31" s="17"/>
      <c r="C31" s="39"/>
      <c r="D31" s="61">
        <f ca="1">TODAY()-C31</f>
        <v>43138</v>
      </c>
      <c r="E31" s="116" t="s">
        <v>33</v>
      </c>
      <c r="F31" s="62">
        <f>G31*0.0005681818</f>
        <v>8.3499705563236617</v>
      </c>
      <c r="G31" s="63">
        <f>H31*1.0936113</f>
        <v>14695.948649400001</v>
      </c>
      <c r="H31" s="131">
        <f>INT(SUM($O23:$O29))</f>
        <v>13438</v>
      </c>
      <c r="I31" s="153"/>
      <c r="J31" s="426" t="str">
        <f>IF(R$2=1,"mph",IF(R$2=2,"mph",IF(R$2=3," km/h","????")))</f>
        <v>mph</v>
      </c>
      <c r="K31" s="454"/>
      <c r="L31" s="454"/>
      <c r="M31" s="455"/>
      <c r="N31" s="455"/>
      <c r="O31" s="259" t="str">
        <f t="shared" si="3"/>
        <v/>
      </c>
      <c r="P31" s="260"/>
      <c r="Q31" s="169">
        <f t="shared" si="4"/>
        <v>0</v>
      </c>
      <c r="R31" s="351"/>
      <c r="S31" s="368" t="str">
        <f t="shared" si="12"/>
        <v/>
      </c>
      <c r="T31" s="351"/>
      <c r="U31" s="351"/>
      <c r="V31" s="351"/>
      <c r="W31" s="351"/>
      <c r="X31" s="234"/>
      <c r="Y31" s="234"/>
      <c r="Z31" s="234"/>
      <c r="AA31" s="348">
        <f t="shared" si="8"/>
        <v>0</v>
      </c>
      <c r="AB31" s="274">
        <f t="shared" si="13"/>
        <v>0</v>
      </c>
      <c r="AC31" s="230"/>
      <c r="AD31" s="319"/>
    </row>
    <row r="32" spans="1:30" ht="16" thickTop="1">
      <c r="A32" s="1" t="s">
        <v>11</v>
      </c>
      <c r="B32" s="57">
        <f t="shared" ref="B32:B38" si="35">IF(B$2&gt;C32,0,C32)</f>
        <v>43178</v>
      </c>
      <c r="C32" s="40">
        <f>C29+1</f>
        <v>43178</v>
      </c>
      <c r="D32" s="22">
        <f t="shared" ca="1" si="1"/>
        <v>-40</v>
      </c>
      <c r="E32" s="118" t="s">
        <v>1</v>
      </c>
      <c r="F32" s="55"/>
      <c r="G32" s="56"/>
      <c r="H32" s="56"/>
      <c r="I32" s="200"/>
      <c r="J32" s="128"/>
      <c r="K32" s="201" t="str">
        <f t="shared" ref="K32" si="36">IF(R32=0,"",IF(L32="","",J32))</f>
        <v/>
      </c>
      <c r="L32" s="154"/>
      <c r="M32" s="56" t="str">
        <f>IF(R32=0,"",IF(J32="","",L32))</f>
        <v/>
      </c>
      <c r="N32" s="330"/>
      <c r="O32" s="259">
        <f t="shared" si="3"/>
        <v>1919.7423506376053</v>
      </c>
      <c r="P32" s="260">
        <f t="shared" ref="P32:P38" si="37">H$56</f>
        <v>59509.969402550421</v>
      </c>
      <c r="Q32" s="169">
        <f t="shared" si="4"/>
        <v>36.97778068204336</v>
      </c>
      <c r="R32" s="169">
        <f>IF(R$2=3,H32+G32/1.0936133+F32/0.0006213712,IF(R$2=2,H32*1.0936133+G32+F32/0.0005681818,IF(R$2=1,H32*0.0005681818*1.0936133+G32*0.0005681818+F32,"")))</f>
        <v>0</v>
      </c>
      <c r="S32" s="368" t="str">
        <f t="shared" si="12"/>
        <v/>
      </c>
      <c r="T32" s="169"/>
      <c r="U32" s="169"/>
      <c r="V32" s="170" t="str">
        <f t="shared" ref="V32:V38" si="38">IF(L32="","",IF(R32=0,"",IF(B32=0,"",IF($R$2=3,R32/L32*60/1000,IF($R$2=2,R32/L32*60/1760,IF($R$2=1,R32/L32*60,""))))))</f>
        <v/>
      </c>
      <c r="W32" s="170" t="str">
        <f t="shared" ref="W32:W38" si="39">IF(R32=0,"",IF(L32="","",V32*L32))</f>
        <v/>
      </c>
      <c r="X32" s="259">
        <f>F32+X29</f>
        <v>0</v>
      </c>
      <c r="Y32" s="259">
        <f>G32+Y29</f>
        <v>0</v>
      </c>
      <c r="Z32" s="259">
        <f>H32+Z29</f>
        <v>0</v>
      </c>
      <c r="AA32" s="348">
        <f t="shared" si="8"/>
        <v>0</v>
      </c>
      <c r="AB32" s="274">
        <f t="shared" si="13"/>
        <v>0</v>
      </c>
      <c r="AC32" s="230"/>
      <c r="AD32" s="319"/>
    </row>
    <row r="33" spans="1:30">
      <c r="A33" s="1"/>
      <c r="B33" s="5">
        <f t="shared" si="35"/>
        <v>43179</v>
      </c>
      <c r="C33" s="38">
        <f t="shared" ref="C33:C38" si="40">C32+1</f>
        <v>43179</v>
      </c>
      <c r="D33" s="7">
        <f t="shared" ca="1" si="1"/>
        <v>-41</v>
      </c>
      <c r="E33" s="114" t="s">
        <v>2</v>
      </c>
      <c r="F33" s="55"/>
      <c r="G33" s="56"/>
      <c r="H33" s="56"/>
      <c r="I33" s="200"/>
      <c r="J33" s="56"/>
      <c r="K33" s="201" t="str">
        <f>IF(R33=0,"",IF(L33="","",J33))</f>
        <v/>
      </c>
      <c r="L33" s="56"/>
      <c r="M33" s="56" t="str">
        <f t="shared" ref="M33:M38" si="41">IF(R33=0,"",IF(J33="","",L33))</f>
        <v/>
      </c>
      <c r="N33" s="324"/>
      <c r="O33" s="259">
        <f t="shared" si="3"/>
        <v>1919.7423506376053</v>
      </c>
      <c r="P33" s="260">
        <f t="shared" si="37"/>
        <v>59509.969402550421</v>
      </c>
      <c r="Q33" s="169">
        <f t="shared" si="4"/>
        <v>36.97778068204336</v>
      </c>
      <c r="R33" s="169">
        <f t="shared" ref="R33:R38" si="42">IF(R$2=3,H33+G33/1.0936133+F33/0.0006213712,IF(R$2=2,H33*1.0936133+G33+F33/0.0005681818,IF(R$2=1,H33*0.0005681818*1.0936133+G33*0.0005681818+F33,"")))</f>
        <v>0</v>
      </c>
      <c r="S33" s="368" t="str">
        <f t="shared" si="12"/>
        <v/>
      </c>
      <c r="T33" s="169"/>
      <c r="U33" s="169"/>
      <c r="V33" s="170" t="str">
        <f t="shared" si="38"/>
        <v/>
      </c>
      <c r="W33" s="170" t="str">
        <f t="shared" si="39"/>
        <v/>
      </c>
      <c r="X33" s="259">
        <f t="shared" ref="X33:Z38" si="43">F33+X32</f>
        <v>0</v>
      </c>
      <c r="Y33" s="259">
        <f t="shared" si="43"/>
        <v>0</v>
      </c>
      <c r="Z33" s="259">
        <f t="shared" si="43"/>
        <v>0</v>
      </c>
      <c r="AA33" s="348">
        <f t="shared" si="8"/>
        <v>0</v>
      </c>
      <c r="AB33" s="274">
        <f t="shared" si="13"/>
        <v>0</v>
      </c>
      <c r="AC33" s="230"/>
      <c r="AD33" s="319"/>
    </row>
    <row r="34" spans="1:30">
      <c r="A34" s="1"/>
      <c r="B34" s="5">
        <f t="shared" si="35"/>
        <v>43180</v>
      </c>
      <c r="C34" s="38">
        <f t="shared" si="40"/>
        <v>43180</v>
      </c>
      <c r="D34" s="7">
        <f t="shared" ca="1" si="1"/>
        <v>-42</v>
      </c>
      <c r="E34" s="114" t="s">
        <v>3</v>
      </c>
      <c r="F34" s="55"/>
      <c r="G34" s="56"/>
      <c r="H34" s="56"/>
      <c r="I34" s="200"/>
      <c r="J34" s="56"/>
      <c r="K34" s="201" t="str">
        <f t="shared" ref="K34:K38" si="44">IF(R34=0,"",IF(L34="","",J34))</f>
        <v/>
      </c>
      <c r="L34" s="56"/>
      <c r="M34" s="56" t="str">
        <f t="shared" si="41"/>
        <v/>
      </c>
      <c r="N34" s="324"/>
      <c r="O34" s="259">
        <f t="shared" si="3"/>
        <v>1919.7423506376053</v>
      </c>
      <c r="P34" s="260">
        <f t="shared" si="37"/>
        <v>59509.969402550421</v>
      </c>
      <c r="Q34" s="169">
        <f t="shared" si="4"/>
        <v>36.97778068204336</v>
      </c>
      <c r="R34" s="169">
        <f t="shared" si="42"/>
        <v>0</v>
      </c>
      <c r="S34" s="368" t="str">
        <f t="shared" si="12"/>
        <v/>
      </c>
      <c r="T34" s="169"/>
      <c r="U34" s="169"/>
      <c r="V34" s="170" t="str">
        <f t="shared" si="38"/>
        <v/>
      </c>
      <c r="W34" s="170" t="str">
        <f t="shared" si="39"/>
        <v/>
      </c>
      <c r="X34" s="259">
        <f t="shared" si="43"/>
        <v>0</v>
      </c>
      <c r="Y34" s="259">
        <f t="shared" si="43"/>
        <v>0</v>
      </c>
      <c r="Z34" s="259">
        <f t="shared" si="43"/>
        <v>0</v>
      </c>
      <c r="AA34" s="348">
        <f t="shared" si="8"/>
        <v>0</v>
      </c>
      <c r="AB34" s="274">
        <f t="shared" si="13"/>
        <v>0</v>
      </c>
      <c r="AC34" s="230"/>
      <c r="AD34" s="319"/>
    </row>
    <row r="35" spans="1:30">
      <c r="A35" s="1"/>
      <c r="B35" s="5">
        <f t="shared" si="35"/>
        <v>43181</v>
      </c>
      <c r="C35" s="38">
        <f t="shared" si="40"/>
        <v>43181</v>
      </c>
      <c r="D35" s="7">
        <f t="shared" ca="1" si="1"/>
        <v>-43</v>
      </c>
      <c r="E35" s="114" t="s">
        <v>4</v>
      </c>
      <c r="F35" s="55"/>
      <c r="G35" s="56"/>
      <c r="H35" s="56"/>
      <c r="I35" s="200"/>
      <c r="J35" s="56"/>
      <c r="K35" s="201" t="str">
        <f t="shared" si="44"/>
        <v/>
      </c>
      <c r="L35" s="56"/>
      <c r="M35" s="56" t="str">
        <f t="shared" si="41"/>
        <v/>
      </c>
      <c r="N35" s="324"/>
      <c r="O35" s="259">
        <f t="shared" si="3"/>
        <v>1919.7423506376053</v>
      </c>
      <c r="P35" s="260">
        <f t="shared" si="37"/>
        <v>59509.969402550421</v>
      </c>
      <c r="Q35" s="169">
        <f t="shared" si="4"/>
        <v>36.97778068204336</v>
      </c>
      <c r="R35" s="169">
        <f t="shared" si="42"/>
        <v>0</v>
      </c>
      <c r="S35" s="368" t="str">
        <f t="shared" si="12"/>
        <v/>
      </c>
      <c r="T35" s="169"/>
      <c r="U35" s="169"/>
      <c r="V35" s="170" t="str">
        <f t="shared" si="38"/>
        <v/>
      </c>
      <c r="W35" s="170" t="str">
        <f t="shared" si="39"/>
        <v/>
      </c>
      <c r="X35" s="259">
        <f t="shared" si="43"/>
        <v>0</v>
      </c>
      <c r="Y35" s="259">
        <f t="shared" si="43"/>
        <v>0</v>
      </c>
      <c r="Z35" s="259">
        <f t="shared" si="43"/>
        <v>0</v>
      </c>
      <c r="AA35" s="348">
        <f t="shared" si="8"/>
        <v>0</v>
      </c>
      <c r="AB35" s="274">
        <f t="shared" si="13"/>
        <v>0</v>
      </c>
      <c r="AC35" s="230"/>
      <c r="AD35" s="319"/>
    </row>
    <row r="36" spans="1:30">
      <c r="A36" s="1"/>
      <c r="B36" s="5">
        <f t="shared" si="35"/>
        <v>43182</v>
      </c>
      <c r="C36" s="38">
        <f t="shared" si="40"/>
        <v>43182</v>
      </c>
      <c r="D36" s="7">
        <f t="shared" ca="1" si="1"/>
        <v>-44</v>
      </c>
      <c r="E36" s="114" t="s">
        <v>5</v>
      </c>
      <c r="F36" s="55"/>
      <c r="G36" s="56"/>
      <c r="H36" s="56"/>
      <c r="I36" s="200"/>
      <c r="J36" s="56"/>
      <c r="K36" s="201" t="str">
        <f t="shared" si="44"/>
        <v/>
      </c>
      <c r="L36" s="56"/>
      <c r="M36" s="56" t="str">
        <f t="shared" si="41"/>
        <v/>
      </c>
      <c r="N36" s="324"/>
      <c r="O36" s="259">
        <f t="shared" si="3"/>
        <v>1919.7423506376053</v>
      </c>
      <c r="P36" s="260">
        <f t="shared" si="37"/>
        <v>59509.969402550421</v>
      </c>
      <c r="Q36" s="169">
        <f t="shared" si="4"/>
        <v>36.97778068204336</v>
      </c>
      <c r="R36" s="169">
        <f t="shared" si="42"/>
        <v>0</v>
      </c>
      <c r="S36" s="368" t="str">
        <f t="shared" si="12"/>
        <v/>
      </c>
      <c r="T36" s="169"/>
      <c r="U36" s="169"/>
      <c r="V36" s="170" t="str">
        <f t="shared" si="38"/>
        <v/>
      </c>
      <c r="W36" s="170" t="str">
        <f t="shared" si="39"/>
        <v/>
      </c>
      <c r="X36" s="259">
        <f t="shared" si="43"/>
        <v>0</v>
      </c>
      <c r="Y36" s="259">
        <f t="shared" si="43"/>
        <v>0</v>
      </c>
      <c r="Z36" s="259">
        <f t="shared" si="43"/>
        <v>0</v>
      </c>
      <c r="AA36" s="348">
        <f t="shared" si="8"/>
        <v>0</v>
      </c>
      <c r="AB36" s="274">
        <f t="shared" si="13"/>
        <v>0</v>
      </c>
      <c r="AC36" s="230"/>
      <c r="AD36" s="319"/>
    </row>
    <row r="37" spans="1:30">
      <c r="A37" s="1"/>
      <c r="B37" s="5">
        <f t="shared" si="35"/>
        <v>43183</v>
      </c>
      <c r="C37" s="38">
        <f t="shared" si="40"/>
        <v>43183</v>
      </c>
      <c r="D37" s="7">
        <f t="shared" ca="1" si="1"/>
        <v>-45</v>
      </c>
      <c r="E37" s="114" t="s">
        <v>6</v>
      </c>
      <c r="F37" s="55"/>
      <c r="G37" s="56"/>
      <c r="H37" s="56"/>
      <c r="I37" s="200"/>
      <c r="J37" s="56"/>
      <c r="K37" s="201" t="str">
        <f t="shared" si="44"/>
        <v/>
      </c>
      <c r="L37" s="56"/>
      <c r="M37" s="56" t="str">
        <f t="shared" si="41"/>
        <v/>
      </c>
      <c r="N37" s="324"/>
      <c r="O37" s="259">
        <f t="shared" si="3"/>
        <v>1919.7423506376053</v>
      </c>
      <c r="P37" s="260">
        <f t="shared" si="37"/>
        <v>59509.969402550421</v>
      </c>
      <c r="Q37" s="169">
        <f t="shared" si="4"/>
        <v>36.97778068204336</v>
      </c>
      <c r="R37" s="169">
        <f t="shared" si="42"/>
        <v>0</v>
      </c>
      <c r="S37" s="368" t="str">
        <f t="shared" si="12"/>
        <v/>
      </c>
      <c r="T37" s="169"/>
      <c r="U37" s="169"/>
      <c r="V37" s="170" t="str">
        <f t="shared" si="38"/>
        <v/>
      </c>
      <c r="W37" s="170" t="str">
        <f t="shared" si="39"/>
        <v/>
      </c>
      <c r="X37" s="259">
        <f t="shared" si="43"/>
        <v>0</v>
      </c>
      <c r="Y37" s="259">
        <f t="shared" si="43"/>
        <v>0</v>
      </c>
      <c r="Z37" s="259">
        <f t="shared" si="43"/>
        <v>0</v>
      </c>
      <c r="AA37" s="348">
        <f t="shared" si="8"/>
        <v>0</v>
      </c>
      <c r="AB37" s="274">
        <f t="shared" si="13"/>
        <v>0</v>
      </c>
      <c r="AC37" s="230"/>
      <c r="AD37" s="319"/>
    </row>
    <row r="38" spans="1:30" ht="16" thickBot="1">
      <c r="A38" s="1"/>
      <c r="B38" s="53">
        <f t="shared" si="35"/>
        <v>43184</v>
      </c>
      <c r="C38" s="41">
        <f t="shared" si="40"/>
        <v>43184</v>
      </c>
      <c r="D38" s="54">
        <f t="shared" ca="1" si="1"/>
        <v>-46</v>
      </c>
      <c r="E38" s="117" t="s">
        <v>7</v>
      </c>
      <c r="F38" s="55"/>
      <c r="G38" s="56"/>
      <c r="H38" s="56"/>
      <c r="I38" s="200"/>
      <c r="J38" s="56"/>
      <c r="K38" s="201" t="str">
        <f t="shared" si="44"/>
        <v/>
      </c>
      <c r="L38" s="56"/>
      <c r="M38" s="56" t="str">
        <f t="shared" si="41"/>
        <v/>
      </c>
      <c r="N38" s="329"/>
      <c r="O38" s="259">
        <f t="shared" si="3"/>
        <v>1919.7423506376053</v>
      </c>
      <c r="P38" s="260">
        <f t="shared" si="37"/>
        <v>59509.969402550421</v>
      </c>
      <c r="Q38" s="169">
        <f t="shared" si="4"/>
        <v>36.97778068204336</v>
      </c>
      <c r="R38" s="169">
        <f t="shared" si="42"/>
        <v>0</v>
      </c>
      <c r="S38" s="368" t="str">
        <f t="shared" si="12"/>
        <v/>
      </c>
      <c r="T38" s="169"/>
      <c r="U38" s="169"/>
      <c r="V38" s="170" t="str">
        <f t="shared" si="38"/>
        <v/>
      </c>
      <c r="W38" s="170" t="str">
        <f t="shared" si="39"/>
        <v/>
      </c>
      <c r="X38" s="259">
        <f t="shared" si="43"/>
        <v>0</v>
      </c>
      <c r="Y38" s="259">
        <f t="shared" si="43"/>
        <v>0</v>
      </c>
      <c r="Z38" s="259">
        <f t="shared" si="43"/>
        <v>0</v>
      </c>
      <c r="AA38" s="348">
        <f t="shared" si="8"/>
        <v>0</v>
      </c>
      <c r="AB38" s="274">
        <f t="shared" si="13"/>
        <v>0</v>
      </c>
      <c r="AC38" s="230"/>
      <c r="AD38" s="319"/>
    </row>
    <row r="39" spans="1:30" ht="16" thickTop="1">
      <c r="A39" s="29"/>
      <c r="B39" s="16"/>
      <c r="C39" s="42"/>
      <c r="D39" s="60">
        <f ca="1">TODAY()-C39</f>
        <v>43138</v>
      </c>
      <c r="E39" s="113" t="s">
        <v>76</v>
      </c>
      <c r="F39" s="59">
        <f ca="1">G39*0.000568181818</f>
        <v>-1.2427401132386871E-58</v>
      </c>
      <c r="G39" s="19">
        <f ca="1">H39*1.0936113</f>
        <v>-2.1872226000000002E-55</v>
      </c>
      <c r="H39" s="20">
        <f ca="1">IF(TODAY()&gt;=B32,(AA38-AA29)*1000,-2E-55)</f>
        <v>-2E-55</v>
      </c>
      <c r="I39" s="152"/>
      <c r="J39" s="218" t="s">
        <v>137</v>
      </c>
      <c r="K39" s="155"/>
      <c r="L39" s="219" t="s">
        <v>138</v>
      </c>
      <c r="M39" s="155"/>
      <c r="N39" s="331" t="s">
        <v>139</v>
      </c>
      <c r="O39" s="259" t="str">
        <f t="shared" si="3"/>
        <v/>
      </c>
      <c r="P39" s="260"/>
      <c r="Q39" s="169">
        <f t="shared" si="4"/>
        <v>0</v>
      </c>
      <c r="R39" s="350"/>
      <c r="S39" s="368" t="str">
        <f t="shared" si="12"/>
        <v/>
      </c>
      <c r="T39" s="350"/>
      <c r="U39" s="350"/>
      <c r="V39" s="350"/>
      <c r="W39" s="350"/>
      <c r="X39" s="234"/>
      <c r="Y39" s="234"/>
      <c r="Z39" s="234"/>
      <c r="AA39" s="348">
        <f t="shared" si="8"/>
        <v>0</v>
      </c>
      <c r="AB39" s="274">
        <f t="shared" si="13"/>
        <v>0</v>
      </c>
      <c r="AC39" s="230"/>
      <c r="AD39" s="319"/>
    </row>
    <row r="40" spans="1:30" ht="16" thickBot="1">
      <c r="A40" s="28"/>
      <c r="B40" s="17"/>
      <c r="C40" s="39"/>
      <c r="D40" s="61">
        <f ca="1">TODAY()-C40</f>
        <v>43138</v>
      </c>
      <c r="E40" s="116" t="s">
        <v>33</v>
      </c>
      <c r="F40" s="62">
        <f>G40*0.0005681818</f>
        <v>8.3499705563236617</v>
      </c>
      <c r="G40" s="63">
        <f>H40*1.0936113</f>
        <v>14695.948649400001</v>
      </c>
      <c r="H40" s="6">
        <f>INT(SUM($O32:$O38))</f>
        <v>13438</v>
      </c>
      <c r="I40" s="153"/>
      <c r="J40" s="156"/>
      <c r="K40" s="157"/>
      <c r="L40" s="217">
        <f>COUNT(S5:S51)-COUNT(V5:V51)</f>
        <v>0</v>
      </c>
      <c r="M40" s="157"/>
      <c r="N40" s="157"/>
      <c r="O40" s="259" t="str">
        <f t="shared" si="3"/>
        <v/>
      </c>
      <c r="P40" s="260"/>
      <c r="Q40" s="169">
        <f t="shared" si="4"/>
        <v>0</v>
      </c>
      <c r="R40" s="351"/>
      <c r="S40" s="368" t="str">
        <f t="shared" si="12"/>
        <v/>
      </c>
      <c r="T40" s="351"/>
      <c r="U40" s="351"/>
      <c r="V40" s="351"/>
      <c r="W40" s="351"/>
      <c r="X40" s="234"/>
      <c r="Y40" s="234"/>
      <c r="Z40" s="234"/>
      <c r="AA40" s="348">
        <f t="shared" si="8"/>
        <v>0</v>
      </c>
      <c r="AB40" s="274">
        <f t="shared" si="13"/>
        <v>0</v>
      </c>
      <c r="AC40" s="230"/>
      <c r="AD40" s="319"/>
    </row>
    <row r="41" spans="1:30" ht="16" thickTop="1">
      <c r="A41" s="1" t="s">
        <v>12</v>
      </c>
      <c r="B41" s="57">
        <f t="shared" ref="B41:B47" si="45">IF(B$3&lt;C41,0,C41)</f>
        <v>43185</v>
      </c>
      <c r="C41" s="40">
        <f>C38+1</f>
        <v>43185</v>
      </c>
      <c r="D41" s="22">
        <f t="shared" ca="1" si="1"/>
        <v>-47</v>
      </c>
      <c r="E41" s="118" t="str">
        <f>IF(B41=0,"","Monday")</f>
        <v>Monday</v>
      </c>
      <c r="F41" s="55"/>
      <c r="G41" s="56"/>
      <c r="H41" s="56"/>
      <c r="I41" s="200"/>
      <c r="J41" s="128"/>
      <c r="K41" s="201" t="str">
        <f t="shared" ref="K41" si="46">IF(R41=0,"",IF(L41="","",J41))</f>
        <v/>
      </c>
      <c r="L41" s="128"/>
      <c r="M41" s="56" t="str">
        <f>IF(R41=0,"",IF(J41="","",L41))</f>
        <v/>
      </c>
      <c r="N41" s="330"/>
      <c r="O41" s="259">
        <f t="shared" si="3"/>
        <v>1919.7423506376053</v>
      </c>
      <c r="P41" s="260">
        <f t="shared" ref="P41:P47" si="47">H$56</f>
        <v>59509.969402550421</v>
      </c>
      <c r="Q41" s="169">
        <f t="shared" si="4"/>
        <v>36.97778068204336</v>
      </c>
      <c r="R41" s="169">
        <f>IF(R$2=3,H41+G41/1.0936133+F41/0.0006213712,IF(R$2=2,H41*1.0936133+G41+F41/0.0005681818,IF(R$2=1,H41*0.0005681818*1.0936133+G41*0.0005681818+F41,"")))</f>
        <v>0</v>
      </c>
      <c r="S41" s="368" t="str">
        <f t="shared" si="12"/>
        <v/>
      </c>
      <c r="T41" s="169"/>
      <c r="U41" s="169"/>
      <c r="V41" s="170" t="str">
        <f t="shared" ref="V41:V47" si="48">IF(L41="","",IF(R41=0,"",IF(B41=0,"",IF($R$2=3,R41/L41*60/1000,IF($R$2=2,R41/L41*60/1760,IF($R$2=1,R41/L41*60,""))))))</f>
        <v/>
      </c>
      <c r="W41" s="170" t="str">
        <f t="shared" ref="W41:W47" si="49">IF(R41=0,"",IF(L41="","",V41*L41))</f>
        <v/>
      </c>
      <c r="X41" s="259">
        <f>F41+X38</f>
        <v>0</v>
      </c>
      <c r="Y41" s="259">
        <f>G41+Y38</f>
        <v>0</v>
      </c>
      <c r="Z41" s="259">
        <f>H41+Z38</f>
        <v>0</v>
      </c>
      <c r="AA41" s="348">
        <f t="shared" si="8"/>
        <v>0</v>
      </c>
      <c r="AB41" s="274">
        <f t="shared" si="13"/>
        <v>0</v>
      </c>
      <c r="AC41" s="230"/>
      <c r="AD41" s="319"/>
    </row>
    <row r="42" spans="1:30">
      <c r="A42" s="1"/>
      <c r="B42" s="5">
        <f t="shared" si="45"/>
        <v>43186</v>
      </c>
      <c r="C42" s="38">
        <f t="shared" ref="C42:C47" si="50">C41+1</f>
        <v>43186</v>
      </c>
      <c r="D42" s="7">
        <f t="shared" ca="1" si="1"/>
        <v>-48</v>
      </c>
      <c r="E42" s="114" t="str">
        <f>IF(B42=0,"","Tuesday")</f>
        <v>Tuesday</v>
      </c>
      <c r="F42" s="55"/>
      <c r="G42" s="56"/>
      <c r="H42" s="56"/>
      <c r="I42" s="200"/>
      <c r="J42" s="56"/>
      <c r="K42" s="201" t="str">
        <f>IF(R42=0,"",IF(L42="","",J42))</f>
        <v/>
      </c>
      <c r="L42" s="56"/>
      <c r="M42" s="56" t="str">
        <f t="shared" ref="M42:M47" si="51">IF(R42=0,"",IF(J42="","",L42))</f>
        <v/>
      </c>
      <c r="N42" s="324"/>
      <c r="O42" s="259">
        <f t="shared" si="3"/>
        <v>1919.7423506376053</v>
      </c>
      <c r="P42" s="260">
        <f t="shared" si="47"/>
        <v>59509.969402550421</v>
      </c>
      <c r="Q42" s="169">
        <f t="shared" si="4"/>
        <v>36.97778068204336</v>
      </c>
      <c r="R42" s="169">
        <f t="shared" ref="R42:R47" si="52">IF(R$2=3,H42+G42/1.0936133+F42/0.0006213712,IF(R$2=2,H42*1.0936133+G42+F42/0.0005681818,IF(R$2=1,H42*0.0005681818*1.0936133+G42*0.0005681818+F42,"")))</f>
        <v>0</v>
      </c>
      <c r="S42" s="368" t="str">
        <f t="shared" si="12"/>
        <v/>
      </c>
      <c r="T42" s="169"/>
      <c r="U42" s="169"/>
      <c r="V42" s="170" t="str">
        <f t="shared" si="48"/>
        <v/>
      </c>
      <c r="W42" s="170" t="str">
        <f t="shared" si="49"/>
        <v/>
      </c>
      <c r="X42" s="259">
        <f t="shared" ref="X42:Z47" si="53">F42+X41</f>
        <v>0</v>
      </c>
      <c r="Y42" s="259">
        <f t="shared" si="53"/>
        <v>0</v>
      </c>
      <c r="Z42" s="259">
        <f t="shared" si="53"/>
        <v>0</v>
      </c>
      <c r="AA42" s="348">
        <f t="shared" si="8"/>
        <v>0</v>
      </c>
      <c r="AB42" s="274">
        <f t="shared" si="13"/>
        <v>0</v>
      </c>
      <c r="AC42" s="230"/>
      <c r="AD42" s="319"/>
    </row>
    <row r="43" spans="1:30">
      <c r="A43" s="1"/>
      <c r="B43" s="5">
        <f t="shared" si="45"/>
        <v>43187</v>
      </c>
      <c r="C43" s="38">
        <f t="shared" si="50"/>
        <v>43187</v>
      </c>
      <c r="D43" s="7">
        <f t="shared" ca="1" si="1"/>
        <v>-49</v>
      </c>
      <c r="E43" s="114" t="str">
        <f>IF(B43=0,"","Wednesday")</f>
        <v>Wednesday</v>
      </c>
      <c r="F43" s="55"/>
      <c r="G43" s="56"/>
      <c r="H43" s="56"/>
      <c r="I43" s="200"/>
      <c r="J43" s="56"/>
      <c r="K43" s="201" t="str">
        <f t="shared" ref="K43:K47" si="54">IF(R43=0,"",IF(L43="","",J43))</f>
        <v/>
      </c>
      <c r="L43" s="56"/>
      <c r="M43" s="56" t="str">
        <f t="shared" si="51"/>
        <v/>
      </c>
      <c r="N43" s="324"/>
      <c r="O43" s="259">
        <f t="shared" si="3"/>
        <v>1919.7423506376053</v>
      </c>
      <c r="P43" s="260">
        <f t="shared" si="47"/>
        <v>59509.969402550421</v>
      </c>
      <c r="Q43" s="169">
        <f t="shared" si="4"/>
        <v>36.97778068204336</v>
      </c>
      <c r="R43" s="169">
        <f t="shared" si="52"/>
        <v>0</v>
      </c>
      <c r="S43" s="368" t="str">
        <f t="shared" si="12"/>
        <v/>
      </c>
      <c r="T43" s="169"/>
      <c r="U43" s="169"/>
      <c r="V43" s="170" t="str">
        <f t="shared" si="48"/>
        <v/>
      </c>
      <c r="W43" s="170" t="str">
        <f t="shared" si="49"/>
        <v/>
      </c>
      <c r="X43" s="259">
        <f t="shared" si="53"/>
        <v>0</v>
      </c>
      <c r="Y43" s="259">
        <f t="shared" si="53"/>
        <v>0</v>
      </c>
      <c r="Z43" s="259">
        <f t="shared" si="53"/>
        <v>0</v>
      </c>
      <c r="AA43" s="348">
        <f t="shared" si="8"/>
        <v>0</v>
      </c>
      <c r="AB43" s="274">
        <f t="shared" si="13"/>
        <v>0</v>
      </c>
      <c r="AC43" s="230"/>
      <c r="AD43" s="319"/>
    </row>
    <row r="44" spans="1:30">
      <c r="A44" s="1"/>
      <c r="B44" s="5">
        <f t="shared" si="45"/>
        <v>43188</v>
      </c>
      <c r="C44" s="38">
        <f t="shared" si="50"/>
        <v>43188</v>
      </c>
      <c r="D44" s="7">
        <f t="shared" ca="1" si="1"/>
        <v>-50</v>
      </c>
      <c r="E44" s="114" t="str">
        <f>IF(B44=0,"","Thursday")</f>
        <v>Thursday</v>
      </c>
      <c r="F44" s="55"/>
      <c r="G44" s="56"/>
      <c r="H44" s="56"/>
      <c r="I44" s="200"/>
      <c r="J44" s="56"/>
      <c r="K44" s="201" t="str">
        <f t="shared" si="54"/>
        <v/>
      </c>
      <c r="L44" s="56"/>
      <c r="M44" s="56" t="str">
        <f t="shared" si="51"/>
        <v/>
      </c>
      <c r="N44" s="324"/>
      <c r="O44" s="259">
        <f t="shared" si="3"/>
        <v>1919.7423506376053</v>
      </c>
      <c r="P44" s="260">
        <f t="shared" si="47"/>
        <v>59509.969402550421</v>
      </c>
      <c r="Q44" s="169">
        <f t="shared" si="4"/>
        <v>36.97778068204336</v>
      </c>
      <c r="R44" s="169">
        <f t="shared" si="52"/>
        <v>0</v>
      </c>
      <c r="S44" s="368" t="str">
        <f t="shared" si="12"/>
        <v/>
      </c>
      <c r="T44" s="169"/>
      <c r="U44" s="169"/>
      <c r="V44" s="170" t="str">
        <f t="shared" si="48"/>
        <v/>
      </c>
      <c r="W44" s="170" t="str">
        <f t="shared" si="49"/>
        <v/>
      </c>
      <c r="X44" s="259">
        <f t="shared" si="53"/>
        <v>0</v>
      </c>
      <c r="Y44" s="259">
        <f t="shared" si="53"/>
        <v>0</v>
      </c>
      <c r="Z44" s="259">
        <f t="shared" si="53"/>
        <v>0</v>
      </c>
      <c r="AA44" s="348">
        <f t="shared" si="8"/>
        <v>0</v>
      </c>
      <c r="AB44" s="274">
        <f t="shared" si="13"/>
        <v>0</v>
      </c>
      <c r="AC44" s="352"/>
      <c r="AD44" s="367"/>
    </row>
    <row r="45" spans="1:30">
      <c r="A45" s="1"/>
      <c r="B45" s="5">
        <f t="shared" si="45"/>
        <v>43189</v>
      </c>
      <c r="C45" s="38">
        <f t="shared" si="50"/>
        <v>43189</v>
      </c>
      <c r="D45" s="7">
        <f t="shared" ca="1" si="1"/>
        <v>-51</v>
      </c>
      <c r="E45" s="114" t="str">
        <f>IF(B45=0,"","Friday")</f>
        <v>Friday</v>
      </c>
      <c r="F45" s="55"/>
      <c r="G45" s="56"/>
      <c r="H45" s="56"/>
      <c r="I45" s="200"/>
      <c r="J45" s="56"/>
      <c r="K45" s="201" t="str">
        <f t="shared" si="54"/>
        <v/>
      </c>
      <c r="L45" s="56"/>
      <c r="M45" s="56" t="str">
        <f t="shared" si="51"/>
        <v/>
      </c>
      <c r="N45" s="324"/>
      <c r="O45" s="259">
        <f t="shared" si="3"/>
        <v>1919.7423506376053</v>
      </c>
      <c r="P45" s="260">
        <f t="shared" si="47"/>
        <v>59509.969402550421</v>
      </c>
      <c r="Q45" s="169">
        <f t="shared" si="4"/>
        <v>36.97778068204336</v>
      </c>
      <c r="R45" s="169">
        <f t="shared" si="52"/>
        <v>0</v>
      </c>
      <c r="S45" s="368" t="str">
        <f t="shared" si="12"/>
        <v/>
      </c>
      <c r="T45" s="169"/>
      <c r="U45" s="169"/>
      <c r="V45" s="170" t="str">
        <f t="shared" si="48"/>
        <v/>
      </c>
      <c r="W45" s="170" t="str">
        <f t="shared" si="49"/>
        <v/>
      </c>
      <c r="X45" s="259">
        <f t="shared" si="53"/>
        <v>0</v>
      </c>
      <c r="Y45" s="259">
        <f t="shared" si="53"/>
        <v>0</v>
      </c>
      <c r="Z45" s="259">
        <f t="shared" si="53"/>
        <v>0</v>
      </c>
      <c r="AA45" s="348">
        <f t="shared" si="8"/>
        <v>0</v>
      </c>
      <c r="AB45" s="274">
        <f t="shared" si="13"/>
        <v>0</v>
      </c>
      <c r="AC45" s="230"/>
      <c r="AD45" s="319"/>
    </row>
    <row r="46" spans="1:30">
      <c r="A46" s="1"/>
      <c r="B46" s="5">
        <f t="shared" si="45"/>
        <v>43190</v>
      </c>
      <c r="C46" s="38">
        <f t="shared" si="50"/>
        <v>43190</v>
      </c>
      <c r="D46" s="7">
        <f t="shared" ca="1" si="1"/>
        <v>-52</v>
      </c>
      <c r="E46" s="114" t="str">
        <f>IF(B46=0,"","Saturday")</f>
        <v>Saturday</v>
      </c>
      <c r="F46" s="55"/>
      <c r="G46" s="56"/>
      <c r="H46" s="56"/>
      <c r="I46" s="200"/>
      <c r="J46" s="56"/>
      <c r="K46" s="201" t="str">
        <f t="shared" si="54"/>
        <v/>
      </c>
      <c r="L46" s="56"/>
      <c r="M46" s="56" t="str">
        <f t="shared" si="51"/>
        <v/>
      </c>
      <c r="N46" s="324"/>
      <c r="O46" s="259">
        <f t="shared" si="3"/>
        <v>1919.7423506376053</v>
      </c>
      <c r="P46" s="260">
        <f t="shared" si="47"/>
        <v>59509.969402550421</v>
      </c>
      <c r="Q46" s="169">
        <f t="shared" si="4"/>
        <v>36.97778068204336</v>
      </c>
      <c r="R46" s="169">
        <f t="shared" si="52"/>
        <v>0</v>
      </c>
      <c r="S46" s="368" t="str">
        <f t="shared" si="12"/>
        <v/>
      </c>
      <c r="T46" s="169"/>
      <c r="U46" s="169"/>
      <c r="V46" s="170" t="str">
        <f t="shared" si="48"/>
        <v/>
      </c>
      <c r="W46" s="170" t="str">
        <f t="shared" si="49"/>
        <v/>
      </c>
      <c r="X46" s="259">
        <f t="shared" si="53"/>
        <v>0</v>
      </c>
      <c r="Y46" s="259">
        <f t="shared" si="53"/>
        <v>0</v>
      </c>
      <c r="Z46" s="259">
        <f t="shared" si="53"/>
        <v>0</v>
      </c>
      <c r="AA46" s="348">
        <f t="shared" si="8"/>
        <v>0</v>
      </c>
      <c r="AB46" s="274">
        <f t="shared" si="13"/>
        <v>0</v>
      </c>
      <c r="AC46" s="230"/>
      <c r="AD46" s="319"/>
    </row>
    <row r="47" spans="1:30" ht="16" thickBot="1">
      <c r="A47" s="1"/>
      <c r="B47" s="53">
        <f t="shared" si="45"/>
        <v>0</v>
      </c>
      <c r="C47" s="41">
        <f t="shared" si="50"/>
        <v>43191</v>
      </c>
      <c r="D47" s="54">
        <f t="shared" ca="1" si="1"/>
        <v>-53</v>
      </c>
      <c r="E47" s="117" t="str">
        <f>IF(B47=0,"","Sunday")</f>
        <v/>
      </c>
      <c r="F47" s="55"/>
      <c r="G47" s="56"/>
      <c r="H47" s="56"/>
      <c r="I47" s="200"/>
      <c r="J47" s="56"/>
      <c r="K47" s="201" t="str">
        <f t="shared" si="54"/>
        <v/>
      </c>
      <c r="L47" s="56"/>
      <c r="M47" s="56" t="str">
        <f t="shared" si="51"/>
        <v/>
      </c>
      <c r="N47" s="329"/>
      <c r="O47" s="259" t="str">
        <f t="shared" si="3"/>
        <v/>
      </c>
      <c r="P47" s="260">
        <f t="shared" si="47"/>
        <v>59509.969402550421</v>
      </c>
      <c r="Q47" s="169">
        <f t="shared" si="4"/>
        <v>36.97778068204336</v>
      </c>
      <c r="R47" s="169">
        <f t="shared" si="52"/>
        <v>0</v>
      </c>
      <c r="S47" s="368" t="str">
        <f t="shared" si="12"/>
        <v/>
      </c>
      <c r="T47" s="169"/>
      <c r="U47" s="169"/>
      <c r="V47" s="170" t="str">
        <f t="shared" si="48"/>
        <v/>
      </c>
      <c r="W47" s="170" t="str">
        <f t="shared" si="49"/>
        <v/>
      </c>
      <c r="X47" s="259">
        <f t="shared" si="53"/>
        <v>0</v>
      </c>
      <c r="Y47" s="259">
        <f t="shared" si="53"/>
        <v>0</v>
      </c>
      <c r="Z47" s="259">
        <f t="shared" si="53"/>
        <v>0</v>
      </c>
      <c r="AA47" s="348">
        <f t="shared" si="8"/>
        <v>0</v>
      </c>
      <c r="AB47" s="274">
        <f t="shared" si="13"/>
        <v>0</v>
      </c>
      <c r="AC47" s="230"/>
      <c r="AD47" s="319"/>
    </row>
    <row r="48" spans="1:30" ht="16" thickTop="1">
      <c r="A48" s="29"/>
      <c r="B48" s="16"/>
      <c r="C48" s="42"/>
      <c r="D48" s="60">
        <f ca="1">TODAY()-C48</f>
        <v>43138</v>
      </c>
      <c r="E48" s="113" t="s">
        <v>76</v>
      </c>
      <c r="F48" s="59">
        <f ca="1">G48*0.000568181818</f>
        <v>-1.2427401132386871E-58</v>
      </c>
      <c r="G48" s="19">
        <f ca="1">H48*1.0936113</f>
        <v>-2.1872226000000002E-55</v>
      </c>
      <c r="H48" s="20">
        <f ca="1">IF(SUM(B41:B47)=0,-1E-55,IF(TODAY()&gt;=B$41,(AA47-AA38)*1000,-2E-55))</f>
        <v>-2E-55</v>
      </c>
      <c r="I48" s="152"/>
      <c r="J48" s="432" t="s">
        <v>121</v>
      </c>
      <c r="K48" s="456"/>
      <c r="L48" s="456"/>
      <c r="M48" s="457"/>
      <c r="N48" s="457"/>
      <c r="O48" s="259" t="str">
        <f t="shared" si="3"/>
        <v/>
      </c>
      <c r="P48" s="230"/>
      <c r="Q48" s="169">
        <f t="shared" si="4"/>
        <v>0</v>
      </c>
      <c r="R48" s="350"/>
      <c r="S48" s="368" t="str">
        <f t="shared" si="12"/>
        <v/>
      </c>
      <c r="T48" s="350"/>
      <c r="U48" s="350"/>
      <c r="V48" s="350"/>
      <c r="W48" s="350"/>
      <c r="X48" s="259"/>
      <c r="Y48" s="259" t="str">
        <f>IF(A48=0,"",G48+Y36)</f>
        <v/>
      </c>
      <c r="Z48" s="259" t="str">
        <f>IF(B48=0,"",H48+Z36)</f>
        <v/>
      </c>
      <c r="AA48" s="348"/>
      <c r="AB48" s="274">
        <f t="shared" si="13"/>
        <v>0</v>
      </c>
      <c r="AC48" s="230"/>
      <c r="AD48" s="319"/>
    </row>
    <row r="49" spans="1:54" ht="19" thickBot="1">
      <c r="A49" s="28"/>
      <c r="B49" s="17"/>
      <c r="C49" s="39"/>
      <c r="D49" s="61">
        <f ca="1">TODAY()-C49</f>
        <v>43138</v>
      </c>
      <c r="E49" s="116" t="s">
        <v>33</v>
      </c>
      <c r="F49" s="62">
        <f>G49*0.0005681818</f>
        <v>7.1569400854097287</v>
      </c>
      <c r="G49" s="63">
        <f>H49*1.0936113</f>
        <v>12596.2149534</v>
      </c>
      <c r="H49" s="6">
        <f>INT(SUM($O41:$O47))</f>
        <v>11518</v>
      </c>
      <c r="I49" s="153"/>
      <c r="J49" s="434" t="str">
        <f>IF(R$2=1,"MILES",IF(R$2=2,"YARDS",IF(R$2=3,"METRES","????")))</f>
        <v>MILES</v>
      </c>
      <c r="K49" s="441"/>
      <c r="L49" s="441"/>
      <c r="M49" s="442"/>
      <c r="N49" s="442"/>
      <c r="O49" s="259" t="str">
        <f t="shared" si="3"/>
        <v/>
      </c>
      <c r="P49" s="234"/>
      <c r="Q49" s="169">
        <f t="shared" si="4"/>
        <v>0</v>
      </c>
      <c r="R49" s="351"/>
      <c r="S49" s="368" t="str">
        <f t="shared" si="12"/>
        <v/>
      </c>
      <c r="T49" s="351"/>
      <c r="U49" s="351"/>
      <c r="V49" s="351"/>
      <c r="W49" s="351"/>
      <c r="X49" s="259"/>
      <c r="Y49" s="259" t="str">
        <f>IF(A49=0,"",G49+Y37)</f>
        <v/>
      </c>
      <c r="Z49" s="259" t="str">
        <f>IF(B49=0,"",H49+Z37)</f>
        <v/>
      </c>
      <c r="AA49" s="348"/>
      <c r="AB49" s="274">
        <f t="shared" si="13"/>
        <v>0</v>
      </c>
      <c r="AC49" s="234"/>
      <c r="AD49" s="320"/>
      <c r="AE49" s="13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</row>
    <row r="50" spans="1:54" ht="16" thickTop="1">
      <c r="A50" s="1" t="s">
        <v>22</v>
      </c>
      <c r="B50" s="57">
        <f t="shared" ref="B50:B51" si="55">IF(B$3&lt;C50,0,C50)</f>
        <v>0</v>
      </c>
      <c r="C50" s="40">
        <f>C47+1</f>
        <v>43192</v>
      </c>
      <c r="D50" s="22">
        <f t="shared" ca="1" si="1"/>
        <v>-54</v>
      </c>
      <c r="E50" s="118" t="str">
        <f>IF(B50=0,"","Monday")</f>
        <v/>
      </c>
      <c r="F50" s="55"/>
      <c r="G50" s="56"/>
      <c r="H50" s="56"/>
      <c r="I50" s="200"/>
      <c r="J50" s="128"/>
      <c r="K50" s="201" t="str">
        <f t="shared" ref="K50" si="56">IF(R50=0,"",IF(L50="","",J50))</f>
        <v/>
      </c>
      <c r="L50" s="128"/>
      <c r="M50" s="56" t="str">
        <f>IF(R50=0,"",IF(J50="","",L50))</f>
        <v/>
      </c>
      <c r="N50" s="330"/>
      <c r="O50" s="259" t="str">
        <f t="shared" si="3"/>
        <v/>
      </c>
      <c r="P50" s="260">
        <f>H$56</f>
        <v>59509.969402550421</v>
      </c>
      <c r="Q50" s="169">
        <f t="shared" si="4"/>
        <v>36.97778068204336</v>
      </c>
      <c r="R50" s="169">
        <f>IF(R$2=3,H50+G50/1.0936133+F50/0.0006213712,IF(R$2=2,H50*1.0936133+G50+F50/0.0005681818,IF(R$2=1,H50*0.0005681818*1.0936133+G50*0.0005681818+F50,"")))</f>
        <v>0</v>
      </c>
      <c r="S50" s="368" t="str">
        <f t="shared" si="12"/>
        <v/>
      </c>
      <c r="T50" s="169"/>
      <c r="U50" s="169"/>
      <c r="V50" s="170" t="str">
        <f>IF(L50="","",IF(R50=0,"",IF(B50=0,"",IF($R$2=3,R50/L50*60/1000,IF($R$2=2,R50/L50*60/1760,IF($R$2=1,R50/L50*60,""))))))</f>
        <v/>
      </c>
      <c r="W50" s="170" t="str">
        <f>IF(R50=0,"",IF(L50="","",V50*L50))</f>
        <v/>
      </c>
      <c r="X50" s="259">
        <f>F50+X47</f>
        <v>0</v>
      </c>
      <c r="Y50" s="259">
        <f>G50+Y47</f>
        <v>0</v>
      </c>
      <c r="Z50" s="259">
        <f>H50+Z47</f>
        <v>0</v>
      </c>
      <c r="AA50" s="348">
        <f t="shared" si="8"/>
        <v>0</v>
      </c>
      <c r="AB50" s="274">
        <f t="shared" si="13"/>
        <v>0</v>
      </c>
      <c r="AC50" s="230"/>
      <c r="AD50" s="319"/>
    </row>
    <row r="51" spans="1:54" ht="16" thickBot="1">
      <c r="A51" s="1"/>
      <c r="B51" s="5">
        <f t="shared" si="55"/>
        <v>0</v>
      </c>
      <c r="C51" s="38">
        <f t="shared" ref="C51" si="57">C50+1</f>
        <v>43193</v>
      </c>
      <c r="D51" s="7">
        <f t="shared" ca="1" si="1"/>
        <v>-55</v>
      </c>
      <c r="E51" s="114" t="str">
        <f>IF(B51=0,"","Tuesday")</f>
        <v/>
      </c>
      <c r="F51" s="55"/>
      <c r="G51" s="56"/>
      <c r="H51" s="56"/>
      <c r="I51" s="200"/>
      <c r="J51" s="56"/>
      <c r="K51" s="201" t="str">
        <f>IF(R51=0,"",IF(L51="","",J51))</f>
        <v/>
      </c>
      <c r="L51" s="56"/>
      <c r="M51" s="56" t="str">
        <f t="shared" ref="M51" si="58">IF(R51=0,"",IF(J51="","",L51))</f>
        <v/>
      </c>
      <c r="N51" s="329"/>
      <c r="O51" s="259" t="str">
        <f t="shared" si="3"/>
        <v/>
      </c>
      <c r="P51" s="260">
        <f>H$56</f>
        <v>59509.969402550421</v>
      </c>
      <c r="Q51" s="169">
        <f t="shared" si="4"/>
        <v>36.97778068204336</v>
      </c>
      <c r="R51" s="169">
        <f>IF(R$2=3,H51+G51/1.0936133+F51/0.0006213712,IF(R$2=2,H51*1.0936133+G51+F51/0.0005681818,IF(R$2=1,H51*0.0005681818*1.0936133+G51*0.0005681818+F51,"")))</f>
        <v>0</v>
      </c>
      <c r="S51" s="368" t="str">
        <f t="shared" si="12"/>
        <v/>
      </c>
      <c r="T51" s="169"/>
      <c r="U51" s="169"/>
      <c r="V51" s="170" t="str">
        <f>IF(L51="","",IF(R51=0,"",IF(B51=0,"",IF($R$2=3,R51/L51*60/1000,IF($R$2=2,R51/L51*60/1760,IF($R$2=1,R51/L51*60,""))))))</f>
        <v/>
      </c>
      <c r="W51" s="170" t="str">
        <f>IF(R51=0,"",IF(L51="","",V51*L51))</f>
        <v/>
      </c>
      <c r="X51" s="259">
        <f>F51+X50</f>
        <v>0</v>
      </c>
      <c r="Y51" s="259">
        <f>G51+Y50</f>
        <v>0</v>
      </c>
      <c r="Z51" s="259">
        <f>H51+Z50</f>
        <v>0</v>
      </c>
      <c r="AA51" s="348">
        <f t="shared" si="8"/>
        <v>0</v>
      </c>
      <c r="AB51" s="274">
        <f t="shared" si="13"/>
        <v>0</v>
      </c>
      <c r="AC51" s="230"/>
      <c r="AD51" s="319"/>
    </row>
    <row r="52" spans="1:54" ht="17" thickTop="1" thickBot="1">
      <c r="A52" s="29"/>
      <c r="B52" s="16"/>
      <c r="C52" s="42"/>
      <c r="D52" s="60"/>
      <c r="E52" s="113" t="s">
        <v>76</v>
      </c>
      <c r="F52" s="59">
        <f ca="1">G52*0.000568181818</f>
        <v>-6.2137005661934355E-59</v>
      </c>
      <c r="G52" s="19">
        <f ca="1">H52*1.0936113</f>
        <v>-1.0936113000000001E-55</v>
      </c>
      <c r="H52" s="129">
        <f ca="1">IF(SUM(B50:B51)=0,-1E-55,IF(TODAY()&gt;=B50,(AA51-AA47)*1000,-2E-55))</f>
        <v>-9.9999999999999999E-56</v>
      </c>
      <c r="I52" s="137"/>
      <c r="J52" s="422" t="s">
        <v>120</v>
      </c>
      <c r="K52" s="423"/>
      <c r="L52" s="423"/>
      <c r="M52" s="147"/>
      <c r="N52" s="332" t="str">
        <f>IF(R$2=1,"Distance (miles)",IF(R$2=2,"Distance (yds)",IF(R$2=3,"Distance (km)","????")))</f>
        <v>Distance (miles)</v>
      </c>
      <c r="O52" s="259"/>
      <c r="P52" s="234" t="s">
        <v>1</v>
      </c>
      <c r="Q52" s="234" t="s">
        <v>2</v>
      </c>
      <c r="R52" s="234" t="s">
        <v>3</v>
      </c>
      <c r="S52" s="234" t="s">
        <v>4</v>
      </c>
      <c r="T52" s="234" t="s">
        <v>5</v>
      </c>
      <c r="U52" s="234" t="s">
        <v>6</v>
      </c>
      <c r="V52" s="234" t="s">
        <v>7</v>
      </c>
      <c r="W52" s="259"/>
      <c r="X52" s="259"/>
      <c r="Y52" s="259"/>
      <c r="Z52" s="348"/>
      <c r="AA52" s="274"/>
      <c r="AB52" s="230"/>
      <c r="AC52" s="230"/>
      <c r="AD52" s="97"/>
    </row>
    <row r="53" spans="1:54" ht="16" thickBot="1">
      <c r="A53" s="28"/>
      <c r="B53" s="17"/>
      <c r="C53" s="39"/>
      <c r="D53" s="61"/>
      <c r="E53" s="116" t="s">
        <v>33</v>
      </c>
      <c r="F53" s="62">
        <f>G53*0.0005681818</f>
        <v>-6.2137003693434006E-59</v>
      </c>
      <c r="G53" s="63">
        <f>H53*1.0936113</f>
        <v>-1.0936113000000001E-55</v>
      </c>
      <c r="H53" s="131">
        <f>IF(SUM($O50:$O51)=0,-1E-55,SUM($O50:$O51))</f>
        <v>-9.9999999999999999E-56</v>
      </c>
      <c r="I53" s="136"/>
      <c r="J53" s="158" t="str">
        <f>'MY STATS'!AF44</f>
        <v/>
      </c>
      <c r="K53" s="159" t="str">
        <f>IF(J53="","x",J53)</f>
        <v>x</v>
      </c>
      <c r="L53" s="206" t="str">
        <f>IF(J53="","",SUMIF(K$5:K$51,K53,M$5:M$51)/1440)</f>
        <v/>
      </c>
      <c r="M53" s="207" t="str">
        <f>IF(J53="","",IF('MY STATS'!$A$15=3,SUMIF(K$5:K$51,J53,R$5:R$51)/1000,SUMIF(K$5:K$51,J53,R$5:R$51)))</f>
        <v/>
      </c>
      <c r="N53" s="333" t="str">
        <f>IF(J53="","",IF('MY STATS'!$A$15=3,SUMIF(J$5:J$51,J53,R$5:R$51)/1000,SUMIF(J$5:J$51,J53,R$5:R$51)))</f>
        <v/>
      </c>
      <c r="O53" s="353" t="s">
        <v>58</v>
      </c>
      <c r="P53" s="234">
        <f t="shared" ref="P53:V53" si="59">COUNTIFS($E$5:$E$51,P52)</f>
        <v>4</v>
      </c>
      <c r="Q53" s="234">
        <f t="shared" si="59"/>
        <v>4</v>
      </c>
      <c r="R53" s="234">
        <f t="shared" si="59"/>
        <v>4</v>
      </c>
      <c r="S53" s="234">
        <f t="shared" si="59"/>
        <v>5</v>
      </c>
      <c r="T53" s="234">
        <f t="shared" si="59"/>
        <v>5</v>
      </c>
      <c r="U53" s="234">
        <f t="shared" si="59"/>
        <v>5</v>
      </c>
      <c r="V53" s="234">
        <f t="shared" si="59"/>
        <v>4</v>
      </c>
      <c r="W53" s="259"/>
      <c r="X53" s="259"/>
      <c r="Y53" s="259"/>
      <c r="Z53" s="348"/>
      <c r="AA53" s="274"/>
      <c r="AB53" s="230"/>
      <c r="AC53" s="352"/>
      <c r="AD53" s="173"/>
    </row>
    <row r="54" spans="1:54" ht="17" thickTop="1" thickBot="1">
      <c r="A54" s="11"/>
      <c r="B54" s="11"/>
      <c r="C54" s="11"/>
      <c r="D54" s="11"/>
      <c r="E54" s="11"/>
      <c r="F54" s="11" t="s">
        <v>34</v>
      </c>
      <c r="G54" s="11" t="s">
        <v>35</v>
      </c>
      <c r="H54" s="11" t="s">
        <v>37</v>
      </c>
      <c r="I54" s="135"/>
      <c r="J54" s="160" t="str">
        <f>'MY STATS'!AG44</f>
        <v/>
      </c>
      <c r="K54" s="161" t="str">
        <f t="shared" ref="K54:K59" si="60">IF(J54="","x",J54)</f>
        <v>x</v>
      </c>
      <c r="L54" s="208" t="str">
        <f>IF(J54="","",SUMIF(K$5:K$51,K54,M$5:M$51)/1440)</f>
        <v/>
      </c>
      <c r="M54" s="209" t="str">
        <f>IF(J54="","",IF('MY STATS'!$A$15=3,SUMIF(K$5:K$51,J54,R$5:R$51)/1000,SUMIF(K$5:K$51,J54,R$5:R$51)))</f>
        <v/>
      </c>
      <c r="N54" s="334" t="str">
        <f>IF(J54="","",IF('MY STATS'!$A$15=3,SUMIF(J$5:J$51,J54,R$5:R$51)/1000,SUMIF(J$5:J$51,J54,R$5:R$51)))</f>
        <v/>
      </c>
      <c r="O54" s="353" t="s">
        <v>57</v>
      </c>
      <c r="P54" s="234">
        <f t="shared" ref="P54:V54" ca="1" si="61">COUNTIFS($D$5:$D$51,"&gt;-1",$E$5:$E$51,P52)</f>
        <v>0</v>
      </c>
      <c r="Q54" s="234">
        <f t="shared" ca="1" si="61"/>
        <v>0</v>
      </c>
      <c r="R54" s="234">
        <f t="shared" ca="1" si="61"/>
        <v>0</v>
      </c>
      <c r="S54" s="234">
        <f t="shared" ca="1" si="61"/>
        <v>0</v>
      </c>
      <c r="T54" s="234">
        <f t="shared" ca="1" si="61"/>
        <v>0</v>
      </c>
      <c r="U54" s="234">
        <f t="shared" ca="1" si="61"/>
        <v>0</v>
      </c>
      <c r="V54" s="234">
        <f t="shared" ca="1" si="61"/>
        <v>0</v>
      </c>
      <c r="W54" s="259"/>
      <c r="X54" s="259"/>
      <c r="Y54" s="259"/>
      <c r="Z54" s="348"/>
      <c r="AA54" s="274"/>
      <c r="AB54" s="230"/>
      <c r="AC54" s="230"/>
      <c r="AD54" s="97"/>
    </row>
    <row r="55" spans="1:54" ht="16" thickTop="1">
      <c r="A55" s="30"/>
      <c r="B55" s="58"/>
      <c r="C55" s="43"/>
      <c r="D55" s="43"/>
      <c r="E55" s="18" t="s">
        <v>36</v>
      </c>
      <c r="F55" s="88">
        <f>G55*0.000568181818</f>
        <v>0</v>
      </c>
      <c r="G55" s="89">
        <f>H55*1.0936113</f>
        <v>0</v>
      </c>
      <c r="H55" s="132">
        <f>AA$51*1000</f>
        <v>0</v>
      </c>
      <c r="I55" s="138"/>
      <c r="J55" s="160" t="str">
        <f>'MY STATS'!AH44</f>
        <v/>
      </c>
      <c r="K55" s="161" t="str">
        <f t="shared" si="60"/>
        <v>x</v>
      </c>
      <c r="L55" s="208" t="str">
        <f>IF(J55="","",SUMIF(K$5:K$51,K55,M$5:M$51)/1440)</f>
        <v/>
      </c>
      <c r="M55" s="209" t="str">
        <f>IF(J55="","",IF('MY STATS'!$A$15=3,SUMIF(K$5:K$51,J55,R$5:R$51)/1000,SUMIF(K$5:K$51,J55,R$5:R$51)))</f>
        <v/>
      </c>
      <c r="N55" s="334" t="str">
        <f>IF(J55="","",IF('MY STATS'!$A$15=3,SUMIF(J$5:J$51,J55,R$5:R$51)/1000,SUMIF(J$5:J$51,J55,R$5:R$51)))</f>
        <v/>
      </c>
      <c r="O55" s="353" t="s">
        <v>80</v>
      </c>
      <c r="P55" s="234">
        <f t="shared" ref="P55:V55" si="62">COUNTIFS($E$5:$E$51,P52,$R$5:$R$51,"&gt;0")</f>
        <v>0</v>
      </c>
      <c r="Q55" s="234">
        <f t="shared" si="62"/>
        <v>0</v>
      </c>
      <c r="R55" s="234">
        <f t="shared" si="62"/>
        <v>0</v>
      </c>
      <c r="S55" s="234">
        <f t="shared" si="62"/>
        <v>0</v>
      </c>
      <c r="T55" s="234">
        <f t="shared" si="62"/>
        <v>0</v>
      </c>
      <c r="U55" s="234">
        <f t="shared" si="62"/>
        <v>0</v>
      </c>
      <c r="V55" s="234">
        <f t="shared" si="62"/>
        <v>0</v>
      </c>
      <c r="W55" s="259"/>
      <c r="X55" s="259"/>
      <c r="Y55" s="259"/>
      <c r="Z55" s="348"/>
      <c r="AA55" s="274"/>
      <c r="AB55" s="230"/>
      <c r="AC55" s="230"/>
      <c r="AD55" s="97"/>
    </row>
    <row r="56" spans="1:54" ht="16" thickBot="1">
      <c r="A56" s="31"/>
      <c r="B56" s="44"/>
      <c r="C56" s="44"/>
      <c r="D56" s="44"/>
      <c r="E56" s="21" t="s">
        <v>51</v>
      </c>
      <c r="F56" s="47">
        <f>G56*0.000568181818</f>
        <v>36.977713057078155</v>
      </c>
      <c r="G56" s="48">
        <f>H56*1.0936113</f>
        <v>65080.775001283393</v>
      </c>
      <c r="H56" s="133">
        <f>SUM(H$53,H40,H31,H22,H49,H13)-1</f>
        <v>59509.969402550421</v>
      </c>
      <c r="I56" s="139"/>
      <c r="J56" s="160" t="str">
        <f>'MY STATS'!AI44</f>
        <v/>
      </c>
      <c r="K56" s="161" t="str">
        <f t="shared" si="60"/>
        <v>x</v>
      </c>
      <c r="L56" s="208" t="str">
        <f>IF(J56="","",SUMIF(K$5:K$51,K56,M$5:M$51)/1440)</f>
        <v/>
      </c>
      <c r="M56" s="209" t="str">
        <f>IF(J56="","",IF('MY STATS'!$A$15=3,SUMIF(K$5:K$51,J56,R$5:R$51)/1000,SUMIF(K$5:K$51,J56,R$5:R$51)))</f>
        <v/>
      </c>
      <c r="N56" s="334" t="str">
        <f>IF(J56="","",IF('MY STATS'!$A$15=3,SUMIF(J$5:J$51,J56,R$5:R$51)/1000,SUMIF(J$5:J$51,J56,R$5:R$51)))</f>
        <v/>
      </c>
      <c r="O56" s="353" t="s">
        <v>136</v>
      </c>
      <c r="P56" s="234"/>
      <c r="Q56" s="234"/>
      <c r="R56" s="234"/>
      <c r="S56" s="234"/>
      <c r="T56" s="234"/>
      <c r="U56" s="234"/>
      <c r="V56" s="234"/>
      <c r="W56" s="259"/>
      <c r="X56" s="259"/>
      <c r="Y56" s="259"/>
      <c r="Z56" s="348"/>
      <c r="AA56" s="274"/>
      <c r="AB56" s="230"/>
      <c r="AC56" s="230"/>
      <c r="AD56" s="97"/>
      <c r="AF56" s="15"/>
    </row>
    <row r="57" spans="1:54" ht="17" thickTop="1" thickBot="1">
      <c r="A57" s="49"/>
      <c r="B57" s="49"/>
      <c r="C57" s="49"/>
      <c r="D57" s="49"/>
      <c r="E57" s="49"/>
      <c r="F57" s="49"/>
      <c r="G57" s="49"/>
      <c r="H57" s="49"/>
      <c r="I57" s="140"/>
      <c r="J57" s="160" t="str">
        <f>'MY STATS'!AJ44</f>
        <v/>
      </c>
      <c r="K57" s="161" t="str">
        <f>IF(J57="","x",J57)</f>
        <v>x</v>
      </c>
      <c r="L57" s="208" t="str">
        <f>IF(J57="","",SUMIF(K$5:K$51,K57,M$5:M$51)/1440)</f>
        <v/>
      </c>
      <c r="M57" s="209" t="str">
        <f>IF(J57="","",IF('MY STATS'!$A$15=3,SUMIF(K$5:K$51,J57,R$5:R$51)/1000,SUMIF(K$5:K$51,J57,R$5:R$51)))</f>
        <v/>
      </c>
      <c r="N57" s="334" t="str">
        <f>IF(J57="","",IF('MY STATS'!$A$15=3,SUMIF(J$5:J$51,J57,R$5:R$51)/1000,SUMIF(J$5:J$51,J57,R$5:R$51)))</f>
        <v/>
      </c>
      <c r="O57" s="353" t="s">
        <v>126</v>
      </c>
      <c r="P57" s="339">
        <f t="shared" ref="P57:V57" si="63">SUMIF($E$5:$E$51,P52,$S$5:$S$51)</f>
        <v>0</v>
      </c>
      <c r="Q57" s="339">
        <f t="shared" si="63"/>
        <v>0</v>
      </c>
      <c r="R57" s="339">
        <f t="shared" si="63"/>
        <v>0</v>
      </c>
      <c r="S57" s="339">
        <f t="shared" si="63"/>
        <v>0</v>
      </c>
      <c r="T57" s="339">
        <f t="shared" si="63"/>
        <v>0</v>
      </c>
      <c r="U57" s="339">
        <f t="shared" si="63"/>
        <v>0</v>
      </c>
      <c r="V57" s="339">
        <f t="shared" si="63"/>
        <v>0</v>
      </c>
      <c r="W57" s="230"/>
      <c r="X57" s="230"/>
      <c r="Y57" s="230"/>
      <c r="Z57" s="234"/>
      <c r="AA57" s="230"/>
      <c r="AB57" s="230"/>
      <c r="AC57" s="230"/>
      <c r="AD57" s="97"/>
    </row>
    <row r="58" spans="1:54" ht="17" thickTop="1" thickBot="1">
      <c r="A58" s="77">
        <f>A1</f>
        <v>3</v>
      </c>
      <c r="B58" s="78"/>
      <c r="C58" s="79"/>
      <c r="D58" s="71"/>
      <c r="E58" s="72" t="s">
        <v>91</v>
      </c>
      <c r="F58" s="90">
        <f>G58*0.000568181818</f>
        <v>0</v>
      </c>
      <c r="G58" s="91">
        <f>H58*1.0936113</f>
        <v>0</v>
      </c>
      <c r="H58" s="92">
        <f>H$55+G$3</f>
        <v>0</v>
      </c>
      <c r="I58" s="140"/>
      <c r="J58" s="162" t="s">
        <v>112</v>
      </c>
      <c r="K58" s="163"/>
      <c r="L58" s="210">
        <f>L59-SUM(L53:L57)</f>
        <v>0</v>
      </c>
      <c r="M58" s="211">
        <f>(M59-SUM(M53:M57))</f>
        <v>0</v>
      </c>
      <c r="N58" s="335">
        <f>(N59-SUM(N53:N57))</f>
        <v>0</v>
      </c>
      <c r="O58" s="353" t="s">
        <v>127</v>
      </c>
      <c r="P58" s="354">
        <f>IF(COUNTIFS($E$5:$E$51,P52,$L$5:$L$51,"&gt;0")=0,0,(SUMIF($E$5:$E$51,P52,$L$5:$L$51)+IF(SUMIF($E$5:$E$51,P52,$R$5:$R$51)=0,-SUMIF($E$5:$E$51,P52,$L$5:$L$51)))/60)</f>
        <v>0</v>
      </c>
      <c r="Q58" s="354">
        <f t="shared" ref="Q58:V58" si="64">IF(COUNTIFS($E$5:$E$51,Q52,$L$5:$L$51,"&gt;0")=0,0,(SUMIF($E$5:$E$51,Q52,$L$5:$L$51)+IF(SUMIF($E$5:$E$51,Q52,$R$5:$R$51)=0,-SUMIF($E$5:$E$51,Q52,$L$5:$L$51)))/60)</f>
        <v>0</v>
      </c>
      <c r="R58" s="354">
        <f t="shared" si="64"/>
        <v>0</v>
      </c>
      <c r="S58" s="354">
        <f t="shared" si="64"/>
        <v>0</v>
      </c>
      <c r="T58" s="354">
        <f t="shared" si="64"/>
        <v>0</v>
      </c>
      <c r="U58" s="354">
        <f t="shared" si="64"/>
        <v>0</v>
      </c>
      <c r="V58" s="354">
        <f t="shared" si="64"/>
        <v>0</v>
      </c>
      <c r="W58" s="230"/>
      <c r="X58" s="230"/>
      <c r="Y58" s="230"/>
      <c r="Z58" s="234"/>
      <c r="AA58" s="230"/>
      <c r="AB58" s="230"/>
      <c r="AC58" s="230"/>
      <c r="AD58" s="97"/>
    </row>
    <row r="59" spans="1:54" ht="17" thickTop="1" thickBot="1">
      <c r="A59" s="80">
        <f>A1</f>
        <v>3</v>
      </c>
      <c r="B59" s="81"/>
      <c r="C59" s="82"/>
      <c r="D59" s="73"/>
      <c r="E59" s="74" t="s">
        <v>63</v>
      </c>
      <c r="F59" s="75">
        <f>G59*0.000568181818</f>
        <v>89.999835408000251</v>
      </c>
      <c r="G59" s="76">
        <f>H59*1.0936113</f>
        <v>158399.71036876834</v>
      </c>
      <c r="H59" s="134">
        <f>VLOOKUP($A$1,'MY STATS'!B$29:K$40,10)</f>
        <v>144840.95982619084</v>
      </c>
      <c r="I59" s="138"/>
      <c r="J59" s="164" t="s">
        <v>68</v>
      </c>
      <c r="K59" s="165" t="str">
        <f t="shared" si="60"/>
        <v>total</v>
      </c>
      <c r="L59" s="212">
        <f>(SUM(L5:L51)-L40)/1440</f>
        <v>0</v>
      </c>
      <c r="M59" s="213">
        <f>IF('MY STATS'!$A$15=3,SUM(R5:R51)/1000,SUM(R5:R51))</f>
        <v>0</v>
      </c>
      <c r="N59" s="336">
        <f>IF('MY STATS'!$A$15=3,SUM(R5:R51)/1000,SUM(R5:R51))</f>
        <v>0</v>
      </c>
      <c r="O59" s="353" t="s">
        <v>111</v>
      </c>
      <c r="P59" s="235">
        <f>IFERROR(IF('MY STATS'!$A15=1,P57/P58,IF('MY STATS'!$A15=2,P57/1760/P58,IF('MY STATS'!$A15=3,P57/1000/P58,0))),0)</f>
        <v>0</v>
      </c>
      <c r="Q59" s="235">
        <f>IFERROR(IF('MY STATS'!$A15=1,Q57/Q58,IF('MY STATS'!$A15=2,Q57/1760/Q58,IF('MY STATS'!$A15=3,Q57/1000/Q58,0))),0)</f>
        <v>0</v>
      </c>
      <c r="R59" s="235">
        <f>IFERROR(IF('MY STATS'!$A15=1,R57/R58,IF('MY STATS'!$A15=2,R57/1760/R58,IF('MY STATS'!$A15=3,R57/1000/R58,0))),0)</f>
        <v>0</v>
      </c>
      <c r="S59" s="235">
        <f>IFERROR(IF('MY STATS'!$A15=1,S57/S58,IF('MY STATS'!$A15=2,S57/1760/S58,IF('MY STATS'!$A15=3,S57/1000/S58,0))),0)</f>
        <v>0</v>
      </c>
      <c r="T59" s="235">
        <f>IFERROR(IF('MY STATS'!$A15=1,T57/T58,IF('MY STATS'!$A15=2,T57/1760/T58,IF('MY STATS'!$A15=3,T57/1000/T58,0))),0)</f>
        <v>0</v>
      </c>
      <c r="U59" s="235">
        <f>IFERROR(IF('MY STATS'!$A15=1,U57/U58,IF('MY STATS'!$A15=2,U57/1760/U58,IF('MY STATS'!$A15=3,U57/1000/U58,0))),0)</f>
        <v>0</v>
      </c>
      <c r="V59" s="235">
        <f>IFERROR(IF('MY STATS'!$A15=1,V57/V58,IF('MY STATS'!$A15=2,V57/1760/V58,IF('MY STATS'!$A15=3,V57/1000/V58,0))),0)</f>
        <v>0</v>
      </c>
      <c r="W59" s="230"/>
      <c r="X59" s="230"/>
      <c r="Y59" s="230"/>
      <c r="Z59" s="234"/>
      <c r="AA59" s="230"/>
      <c r="AB59" s="230"/>
      <c r="AC59" s="230"/>
      <c r="AD59" s="97"/>
    </row>
    <row r="60" spans="1:54" ht="16" thickTop="1">
      <c r="O60" s="230"/>
      <c r="P60" s="230"/>
      <c r="Q60" s="230"/>
      <c r="R60" s="230"/>
      <c r="S60" s="100"/>
      <c r="T60" s="230"/>
      <c r="U60" s="230"/>
      <c r="V60" s="230"/>
      <c r="W60" s="230"/>
      <c r="X60" s="230"/>
      <c r="Y60" s="230"/>
      <c r="Z60" s="230"/>
      <c r="AA60" s="234"/>
      <c r="AB60" s="230"/>
      <c r="AC60" s="230"/>
      <c r="AD60" s="319"/>
    </row>
    <row r="61" spans="1:54">
      <c r="O61" s="230"/>
      <c r="P61" s="230"/>
      <c r="Q61" s="230"/>
      <c r="R61" s="230"/>
      <c r="S61" s="100"/>
      <c r="T61" s="230"/>
      <c r="U61" s="230"/>
      <c r="V61" s="230"/>
      <c r="W61" s="230"/>
      <c r="X61" s="230"/>
      <c r="Y61" s="230"/>
      <c r="Z61" s="230"/>
      <c r="AA61" s="234"/>
      <c r="AB61" s="230"/>
      <c r="AC61" s="230"/>
      <c r="AD61" s="319"/>
    </row>
    <row r="62" spans="1:54" ht="6.75" customHeight="1">
      <c r="O62" s="230"/>
      <c r="P62" s="230"/>
      <c r="Q62" s="230"/>
      <c r="R62" s="230"/>
      <c r="S62" s="100"/>
      <c r="T62" s="230"/>
      <c r="U62" s="230"/>
      <c r="V62" s="230"/>
      <c r="W62" s="230"/>
      <c r="X62" s="230"/>
      <c r="Y62" s="230"/>
      <c r="Z62" s="230"/>
      <c r="AA62" s="234"/>
      <c r="AB62" s="230"/>
      <c r="AC62" s="230"/>
      <c r="AD62" s="319"/>
    </row>
    <row r="63" spans="1:54">
      <c r="O63" s="230"/>
      <c r="P63" s="230"/>
      <c r="Q63" s="230"/>
      <c r="R63" s="230"/>
      <c r="S63" s="100"/>
      <c r="T63" s="230"/>
      <c r="U63" s="230"/>
      <c r="V63" s="230"/>
      <c r="W63" s="230"/>
      <c r="X63" s="230"/>
      <c r="Y63" s="230"/>
      <c r="Z63" s="230"/>
      <c r="AA63" s="234"/>
      <c r="AB63" s="230"/>
      <c r="AC63" s="230"/>
      <c r="AD63" s="319"/>
    </row>
    <row r="64" spans="1:54">
      <c r="O64" s="319"/>
      <c r="P64" s="319"/>
      <c r="Q64" s="319"/>
      <c r="R64" s="319"/>
      <c r="S64" s="97"/>
      <c r="T64" s="319"/>
      <c r="U64" s="319"/>
      <c r="V64" s="319"/>
      <c r="W64" s="319"/>
      <c r="X64" s="320"/>
      <c r="Y64" s="319"/>
      <c r="Z64" s="319"/>
      <c r="AA64" s="319"/>
      <c r="AB64" s="319"/>
      <c r="AC64" s="319"/>
      <c r="AD64" s="319"/>
    </row>
    <row r="65" spans="15:30">
      <c r="O65" s="319"/>
      <c r="P65" s="319"/>
      <c r="Q65" s="319"/>
      <c r="R65" s="319"/>
      <c r="S65" s="97"/>
      <c r="T65" s="319"/>
      <c r="U65" s="319"/>
      <c r="V65" s="319"/>
      <c r="W65" s="319"/>
      <c r="X65" s="319"/>
      <c r="Y65" s="319"/>
      <c r="Z65" s="319"/>
      <c r="AA65" s="320"/>
      <c r="AB65" s="319"/>
      <c r="AC65" s="319"/>
      <c r="AD65" s="319"/>
    </row>
    <row r="66" spans="15:30" s="3" customFormat="1">
      <c r="S66" s="97"/>
      <c r="Z66" s="8"/>
    </row>
  </sheetData>
  <sheetProtection sheet="1" objects="1" scenarios="1" selectLockedCells="1"/>
  <mergeCells count="8">
    <mergeCell ref="J49:N49"/>
    <mergeCell ref="J52:L52"/>
    <mergeCell ref="J12:N12"/>
    <mergeCell ref="J13:N13"/>
    <mergeCell ref="J21:N22"/>
    <mergeCell ref="J30:N30"/>
    <mergeCell ref="J31:N31"/>
    <mergeCell ref="J48:N48"/>
  </mergeCells>
  <conditionalFormatting sqref="Q4:Q51 R5:R11 R14:R20 R23:R29 R32:R38 R41:R47 R50:R51 K5:K11 K50:K51 K14:K20 K23:K29 K32:K38 T50:U51 T41:U47 T32:U38 T23:U29 T14:U20 T5:U11">
    <cfRule type="cellIs" dxfId="11744" priority="1323" stopIfTrue="1" operator="lessThan">
      <formula>0</formula>
    </cfRule>
  </conditionalFormatting>
  <conditionalFormatting sqref="B14:B20 B23:B29 B49:B51 B40:B47 B53 B31:B38 D3 B5:B11">
    <cfRule type="cellIs" dxfId="11743" priority="1324" stopIfTrue="1" operator="notBetween">
      <formula>$B$2</formula>
      <formula>$B$3</formula>
    </cfRule>
  </conditionalFormatting>
  <conditionalFormatting sqref="B14:B20 B23:B29 B49:B51 B40:B47 B53 B31:B38 D3 B5:B11">
    <cfRule type="cellIs" dxfId="11742" priority="1325" operator="greaterThan">
      <formula>$E$3</formula>
    </cfRule>
    <cfRule type="cellIs" dxfId="11741" priority="1326" operator="equal">
      <formula>$E$3</formula>
    </cfRule>
    <cfRule type="cellIs" dxfId="11740" priority="1327" operator="lessThan">
      <formula>$E$3</formula>
    </cfRule>
  </conditionalFormatting>
  <conditionalFormatting sqref="F58:H58 F55:H55">
    <cfRule type="expression" dxfId="11739" priority="1322">
      <formula>$F55&gt;=$F56</formula>
    </cfRule>
  </conditionalFormatting>
  <conditionalFormatting sqref="F5:H10 F14:G20 F23:G29 F38:H38 F41:H47 F11:G11 F32:G37">
    <cfRule type="cellIs" dxfId="11738" priority="1312" stopIfTrue="1" operator="lessThan">
      <formula>0</formula>
    </cfRule>
  </conditionalFormatting>
  <conditionalFormatting sqref="C32:C38 C41:C47 C50:C51 C14:C20 C23:C29 C5:C11">
    <cfRule type="cellIs" dxfId="11737" priority="1317" stopIfTrue="1" operator="notBetween">
      <formula>$B$2</formula>
      <formula>$B$3</formula>
    </cfRule>
  </conditionalFormatting>
  <conditionalFormatting sqref="C41:C47 C50:C51 C32:C38 C14:C20 C23:C29 C5:C11">
    <cfRule type="cellIs" dxfId="11736" priority="1318" operator="greaterThan">
      <formula>$E$3</formula>
    </cfRule>
    <cfRule type="cellIs" dxfId="11735" priority="1319" operator="equal">
      <formula>$E$3</formula>
    </cfRule>
    <cfRule type="cellIs" dxfId="11734" priority="1320" operator="lessThan">
      <formula>$E$3</formula>
    </cfRule>
  </conditionalFormatting>
  <conditionalFormatting sqref="F14:G20 F23:G29 F38:H38 F41:H47 F32:G37 K5:K11 K14:K20 K23:K29 K32:K38 K41:K47 K50:K51">
    <cfRule type="expression" dxfId="11733" priority="1316">
      <formula>$C5&lt;$E$3</formula>
    </cfRule>
  </conditionalFormatting>
  <conditionalFormatting sqref="F5:H10 F14:G20 F23:G29 F38:H38 F41:H47 F11:G11 F32:G37 K5:K11 K14:K20 K23:K29 K32:K38 K41:K47 K50:K51">
    <cfRule type="expression" dxfId="11732" priority="1313">
      <formula>$C5=$E$3</formula>
    </cfRule>
    <cfRule type="expression" dxfId="11731" priority="1314">
      <formula>$C5&lt;$E$3</formula>
    </cfRule>
    <cfRule type="cellIs" dxfId="11730" priority="1315" operator="equal">
      <formula>0</formula>
    </cfRule>
    <cfRule type="expression" dxfId="11729" priority="1321">
      <formula>$C5&gt;$E$3</formula>
    </cfRule>
  </conditionalFormatting>
  <conditionalFormatting sqref="F12:G12">
    <cfRule type="expression" dxfId="11728" priority="1311">
      <formula>$F12&gt;=$F13</formula>
    </cfRule>
  </conditionalFormatting>
  <conditionalFormatting sqref="F21:G21">
    <cfRule type="expression" dxfId="11727" priority="1310">
      <formula>$F21&gt;=$F22</formula>
    </cfRule>
  </conditionalFormatting>
  <conditionalFormatting sqref="F39:H39">
    <cfRule type="expression" dxfId="11726" priority="1309">
      <formula>$F39&gt;=$F40</formula>
    </cfRule>
  </conditionalFormatting>
  <conditionalFormatting sqref="F30:G30">
    <cfRule type="expression" dxfId="11725" priority="1308">
      <formula>$F30&gt;=$F31</formula>
    </cfRule>
  </conditionalFormatting>
  <conditionalFormatting sqref="F48:H48">
    <cfRule type="expression" dxfId="11724" priority="1306" stopIfTrue="1">
      <formula>$H$48=-1E-55</formula>
    </cfRule>
    <cfRule type="expression" dxfId="11723" priority="1307">
      <formula>$F48&gt;=$F49</formula>
    </cfRule>
  </conditionalFormatting>
  <conditionalFormatting sqref="F14:G20 F23:G29 F38:H38 F41:H47 F32:G37">
    <cfRule type="expression" dxfId="11722" priority="1305">
      <formula>$C14&lt;$E$3</formula>
    </cfRule>
  </conditionalFormatting>
  <conditionalFormatting sqref="F14:G20 F5:H10 F23:G29 F38:H38 F41:H47 F11:G11 F32:G37">
    <cfRule type="expression" dxfId="11721" priority="1301">
      <formula>$C5=$E$3</formula>
    </cfRule>
    <cfRule type="expression" dxfId="11720" priority="1302">
      <formula>$C5&lt;$E$3</formula>
    </cfRule>
    <cfRule type="cellIs" dxfId="11719" priority="1303" operator="equal">
      <formula>0</formula>
    </cfRule>
    <cfRule type="expression" dxfId="11718" priority="1304">
      <formula>$C5&gt;$E$3</formula>
    </cfRule>
  </conditionalFormatting>
  <conditionalFormatting sqref="F12:G12">
    <cfRule type="expression" dxfId="11717" priority="1300">
      <formula>$F12&gt;=$F13</formula>
    </cfRule>
  </conditionalFormatting>
  <conditionalFormatting sqref="F21:G21">
    <cfRule type="expression" dxfId="11716" priority="1299">
      <formula>$F21&gt;=$F22</formula>
    </cfRule>
  </conditionalFormatting>
  <conditionalFormatting sqref="F39:H39">
    <cfRule type="expression" dxfId="11715" priority="1298">
      <formula>$F39&gt;=$F40</formula>
    </cfRule>
  </conditionalFormatting>
  <conditionalFormatting sqref="F30:G30">
    <cfRule type="expression" dxfId="11714" priority="1297">
      <formula>$F30&gt;=$F31</formula>
    </cfRule>
  </conditionalFormatting>
  <conditionalFormatting sqref="F48:H48">
    <cfRule type="expression" dxfId="11713" priority="1295" stopIfTrue="1">
      <formula>$E$41=""</formula>
    </cfRule>
    <cfRule type="expression" dxfId="11712" priority="1296">
      <formula>$F48&gt;=$F49</formula>
    </cfRule>
  </conditionalFormatting>
  <conditionalFormatting sqref="F41:H47 K5:K11 K14:K20 K23:K29 K32:K38 K41:K47 K50:K51">
    <cfRule type="expression" dxfId="11711" priority="1294">
      <formula>$E5=""</formula>
    </cfRule>
  </conditionalFormatting>
  <conditionalFormatting sqref="F47:H47">
    <cfRule type="expression" dxfId="11710" priority="1293">
      <formula>$E$46=""</formula>
    </cfRule>
  </conditionalFormatting>
  <conditionalFormatting sqref="F45:H45">
    <cfRule type="expression" dxfId="11709" priority="1292">
      <formula>$E45=""</formula>
    </cfRule>
  </conditionalFormatting>
  <conditionalFormatting sqref="F5:H10 F11:G11">
    <cfRule type="expression" dxfId="11708" priority="1291">
      <formula>$C5&lt;$E$3</formula>
    </cfRule>
  </conditionalFormatting>
  <conditionalFormatting sqref="F5:H10 F11:G11">
    <cfRule type="expression" dxfId="11707" priority="1290">
      <formula>$E5=""</formula>
    </cfRule>
  </conditionalFormatting>
  <conditionalFormatting sqref="F5:H10 F11:G11">
    <cfRule type="expression" dxfId="11706" priority="1286">
      <formula>$C5=$E$3</formula>
    </cfRule>
    <cfRule type="expression" dxfId="11705" priority="1287">
      <formula>$C5&lt;$E$3</formula>
    </cfRule>
    <cfRule type="cellIs" dxfId="11704" priority="1288" operator="equal">
      <formula>0</formula>
    </cfRule>
    <cfRule type="expression" dxfId="11703" priority="1289">
      <formula>$C5&gt;$E$3</formula>
    </cfRule>
  </conditionalFormatting>
  <conditionalFormatting sqref="F5:H10 F11:G11">
    <cfRule type="expression" dxfId="11702" priority="1285">
      <formula>$C5&lt;$E$3</formula>
    </cfRule>
  </conditionalFormatting>
  <conditionalFormatting sqref="F5:H10 F11:G11 K5:K11 K14:K20 K23:K29 K32:K38 K41:K47 K50:K51">
    <cfRule type="expression" dxfId="11701" priority="1284">
      <formula>$E5=""</formula>
    </cfRule>
  </conditionalFormatting>
  <conditionalFormatting sqref="F14:G20">
    <cfRule type="expression" dxfId="11700" priority="1283">
      <formula>$C14&lt;$E$3</formula>
    </cfRule>
  </conditionalFormatting>
  <conditionalFormatting sqref="F14:G20">
    <cfRule type="expression" dxfId="11699" priority="1279">
      <formula>$C14=$E$3</formula>
    </cfRule>
    <cfRule type="expression" dxfId="11698" priority="1280">
      <formula>$C14&lt;$E$3</formula>
    </cfRule>
    <cfRule type="cellIs" dxfId="11697" priority="1281" operator="equal">
      <formula>0</formula>
    </cfRule>
    <cfRule type="expression" dxfId="11696" priority="1282">
      <formula>$C14&gt;$E$3</formula>
    </cfRule>
  </conditionalFormatting>
  <conditionalFormatting sqref="F5:H10 F11:G11">
    <cfRule type="expression" dxfId="11695" priority="1278">
      <formula>$C5&lt;$E$3</formula>
    </cfRule>
  </conditionalFormatting>
  <conditionalFormatting sqref="F5:H10 F11:G11">
    <cfRule type="expression" dxfId="11694" priority="1274">
      <formula>$C5=$E$3</formula>
    </cfRule>
    <cfRule type="expression" dxfId="11693" priority="1275">
      <formula>$C5&lt;$E$3</formula>
    </cfRule>
    <cfRule type="cellIs" dxfId="11692" priority="1276" operator="equal">
      <formula>0</formula>
    </cfRule>
    <cfRule type="expression" dxfId="11691" priority="1277">
      <formula>$C5&gt;$E$3</formula>
    </cfRule>
  </conditionalFormatting>
  <conditionalFormatting sqref="F5:H10 F11:G11">
    <cfRule type="expression" dxfId="11690" priority="1273">
      <formula>$E5=""</formula>
    </cfRule>
  </conditionalFormatting>
  <conditionalFormatting sqref="F5:H10 F11:G11">
    <cfRule type="expression" dxfId="11689" priority="1272">
      <formula>$C5&lt;$E$3</formula>
    </cfRule>
  </conditionalFormatting>
  <conditionalFormatting sqref="F5:H10 F11:G11 K5:K11 K14:K20 K23:K29 K32:K38 K41:K47 K50:K51">
    <cfRule type="expression" dxfId="11688" priority="1271">
      <formula>$E5=""</formula>
    </cfRule>
  </conditionalFormatting>
  <conditionalFormatting sqref="F5:H10 F11:G11">
    <cfRule type="expression" dxfId="11687" priority="1270">
      <formula>$E5=""</formula>
    </cfRule>
  </conditionalFormatting>
  <conditionalFormatting sqref="F5:H10 F11:G11">
    <cfRule type="expression" dxfId="11686" priority="1269">
      <formula>$C5&lt;$E$3</formula>
    </cfRule>
  </conditionalFormatting>
  <conditionalFormatting sqref="F5:H10 F11:G11">
    <cfRule type="expression" dxfId="11685" priority="1268">
      <formula>$E5=""</formula>
    </cfRule>
  </conditionalFormatting>
  <conditionalFormatting sqref="F5:H10 F11:G11">
    <cfRule type="expression" dxfId="11684" priority="1267">
      <formula>$C5&lt;$E$3</formula>
    </cfRule>
  </conditionalFormatting>
  <conditionalFormatting sqref="F5:H10 F11:G11">
    <cfRule type="expression" dxfId="11683" priority="1266">
      <formula>$E5=""</formula>
    </cfRule>
  </conditionalFormatting>
  <conditionalFormatting sqref="F5:H10 F11:G11">
    <cfRule type="expression" dxfId="11682" priority="1265">
      <formula>$C5&lt;$E$3</formula>
    </cfRule>
  </conditionalFormatting>
  <conditionalFormatting sqref="F5:H10 F11:G11">
    <cfRule type="expression" dxfId="11681" priority="1264">
      <formula>$E5=""</formula>
    </cfRule>
  </conditionalFormatting>
  <conditionalFormatting sqref="F14:G20">
    <cfRule type="expression" dxfId="11680" priority="1263">
      <formula>$C14&lt;$E$3</formula>
    </cfRule>
  </conditionalFormatting>
  <conditionalFormatting sqref="F14:G20">
    <cfRule type="expression" dxfId="11679" priority="1259">
      <formula>$C14=$E$3</formula>
    </cfRule>
    <cfRule type="expression" dxfId="11678" priority="1260">
      <formula>$C14&lt;$E$3</formula>
    </cfRule>
    <cfRule type="cellIs" dxfId="11677" priority="1261" operator="equal">
      <formula>0</formula>
    </cfRule>
    <cfRule type="expression" dxfId="11676" priority="1262">
      <formula>$C14&gt;$E$3</formula>
    </cfRule>
  </conditionalFormatting>
  <conditionalFormatting sqref="F14:G20">
    <cfRule type="expression" dxfId="11675" priority="1258">
      <formula>$E14=""</formula>
    </cfRule>
  </conditionalFormatting>
  <conditionalFormatting sqref="F14:G20">
    <cfRule type="expression" dxfId="11674" priority="1257">
      <formula>$C14&lt;$E$3</formula>
    </cfRule>
  </conditionalFormatting>
  <conditionalFormatting sqref="F14:G20">
    <cfRule type="expression" dxfId="11673" priority="1256">
      <formula>$E14=""</formula>
    </cfRule>
  </conditionalFormatting>
  <conditionalFormatting sqref="F14:G20">
    <cfRule type="expression" dxfId="11672" priority="1255">
      <formula>$E14=""</formula>
    </cfRule>
  </conditionalFormatting>
  <conditionalFormatting sqref="F14:G20">
    <cfRule type="expression" dxfId="11671" priority="1254">
      <formula>$C14&lt;$E$3</formula>
    </cfRule>
  </conditionalFormatting>
  <conditionalFormatting sqref="F14:G20">
    <cfRule type="expression" dxfId="11670" priority="1253">
      <formula>$E14=""</formula>
    </cfRule>
  </conditionalFormatting>
  <conditionalFormatting sqref="F14:G20">
    <cfRule type="expression" dxfId="11669" priority="1252">
      <formula>$C14&lt;$E$3</formula>
    </cfRule>
  </conditionalFormatting>
  <conditionalFormatting sqref="F14:G20">
    <cfRule type="expression" dxfId="11668" priority="1251">
      <formula>$E14=""</formula>
    </cfRule>
  </conditionalFormatting>
  <conditionalFormatting sqref="F14:G20">
    <cfRule type="expression" dxfId="11667" priority="1250">
      <formula>$C14&lt;$E$3</formula>
    </cfRule>
  </conditionalFormatting>
  <conditionalFormatting sqref="F14:G20">
    <cfRule type="expression" dxfId="11666" priority="1249">
      <formula>$E14=""</formula>
    </cfRule>
  </conditionalFormatting>
  <conditionalFormatting sqref="F23:G29">
    <cfRule type="expression" dxfId="11665" priority="1248">
      <formula>$C23&lt;$E$3</formula>
    </cfRule>
  </conditionalFormatting>
  <conditionalFormatting sqref="F23:G29">
    <cfRule type="expression" dxfId="11664" priority="1244">
      <formula>$C23=$E$3</formula>
    </cfRule>
    <cfRule type="expression" dxfId="11663" priority="1245">
      <formula>$C23&lt;$E$3</formula>
    </cfRule>
    <cfRule type="cellIs" dxfId="11662" priority="1246" operator="equal">
      <formula>0</formula>
    </cfRule>
    <cfRule type="expression" dxfId="11661" priority="1247">
      <formula>$C23&gt;$E$3</formula>
    </cfRule>
  </conditionalFormatting>
  <conditionalFormatting sqref="F23:G29">
    <cfRule type="expression" dxfId="11660" priority="1243">
      <formula>$C23&lt;$E$3</formula>
    </cfRule>
  </conditionalFormatting>
  <conditionalFormatting sqref="F23:G29">
    <cfRule type="expression" dxfId="11659" priority="1239">
      <formula>$C23=$E$3</formula>
    </cfRule>
    <cfRule type="expression" dxfId="11658" priority="1240">
      <formula>$C23&lt;$E$3</formula>
    </cfRule>
    <cfRule type="cellIs" dxfId="11657" priority="1241" operator="equal">
      <formula>0</formula>
    </cfRule>
    <cfRule type="expression" dxfId="11656" priority="1242">
      <formula>$C23&gt;$E$3</formula>
    </cfRule>
  </conditionalFormatting>
  <conditionalFormatting sqref="F23:G29">
    <cfRule type="expression" dxfId="11655" priority="1238">
      <formula>$E23=""</formula>
    </cfRule>
  </conditionalFormatting>
  <conditionalFormatting sqref="F23:G29">
    <cfRule type="expression" dxfId="11654" priority="1237">
      <formula>$C23&lt;$E$3</formula>
    </cfRule>
  </conditionalFormatting>
  <conditionalFormatting sqref="F23:G29">
    <cfRule type="expression" dxfId="11653" priority="1236">
      <formula>$E23=""</formula>
    </cfRule>
  </conditionalFormatting>
  <conditionalFormatting sqref="F23:G29">
    <cfRule type="expression" dxfId="11652" priority="1235">
      <formula>$E23=""</formula>
    </cfRule>
  </conditionalFormatting>
  <conditionalFormatting sqref="F23:G29">
    <cfRule type="expression" dxfId="11651" priority="1234">
      <formula>$C23&lt;$E$3</formula>
    </cfRule>
  </conditionalFormatting>
  <conditionalFormatting sqref="F23:G29">
    <cfRule type="expression" dxfId="11650" priority="1233">
      <formula>$E23=""</formula>
    </cfRule>
  </conditionalFormatting>
  <conditionalFormatting sqref="F23:G29">
    <cfRule type="expression" dxfId="11649" priority="1232">
      <formula>$C23&lt;$E$3</formula>
    </cfRule>
  </conditionalFormatting>
  <conditionalFormatting sqref="F23:G29">
    <cfRule type="expression" dxfId="11648" priority="1231">
      <formula>$E23=""</formula>
    </cfRule>
  </conditionalFormatting>
  <conditionalFormatting sqref="F23:G29">
    <cfRule type="expression" dxfId="11647" priority="1230">
      <formula>$C23&lt;$E$3</formula>
    </cfRule>
  </conditionalFormatting>
  <conditionalFormatting sqref="F23:G29">
    <cfRule type="expression" dxfId="11646" priority="1229">
      <formula>$E23=""</formula>
    </cfRule>
  </conditionalFormatting>
  <conditionalFormatting sqref="F38:H38 F32:G37">
    <cfRule type="expression" dxfId="11645" priority="1228">
      <formula>$C32&lt;$E$3</formula>
    </cfRule>
  </conditionalFormatting>
  <conditionalFormatting sqref="F38:H38 F32:G37">
    <cfRule type="expression" dxfId="11644" priority="1224">
      <formula>$C32=$E$3</formula>
    </cfRule>
    <cfRule type="expression" dxfId="11643" priority="1225">
      <formula>$C32&lt;$E$3</formula>
    </cfRule>
    <cfRule type="cellIs" dxfId="11642" priority="1226" operator="equal">
      <formula>0</formula>
    </cfRule>
    <cfRule type="expression" dxfId="11641" priority="1227">
      <formula>$C32&gt;$E$3</formula>
    </cfRule>
  </conditionalFormatting>
  <conditionalFormatting sqref="F38:H38 F32:G37">
    <cfRule type="expression" dxfId="11640" priority="1223">
      <formula>$C32&lt;$E$3</formula>
    </cfRule>
  </conditionalFormatting>
  <conditionalFormatting sqref="F38:H38 F32:G37">
    <cfRule type="expression" dxfId="11639" priority="1219">
      <formula>$C32=$E$3</formula>
    </cfRule>
    <cfRule type="expression" dxfId="11638" priority="1220">
      <formula>$C32&lt;$E$3</formula>
    </cfRule>
    <cfRule type="cellIs" dxfId="11637" priority="1221" operator="equal">
      <formula>0</formula>
    </cfRule>
    <cfRule type="expression" dxfId="11636" priority="1222">
      <formula>$C32&gt;$E$3</formula>
    </cfRule>
  </conditionalFormatting>
  <conditionalFormatting sqref="F38:H38 F32:G37">
    <cfRule type="expression" dxfId="11635" priority="1218">
      <formula>$E32=""</formula>
    </cfRule>
  </conditionalFormatting>
  <conditionalFormatting sqref="F38:H38 F32:G37">
    <cfRule type="expression" dxfId="11634" priority="1217">
      <formula>$C32&lt;$E$3</formula>
    </cfRule>
  </conditionalFormatting>
  <conditionalFormatting sqref="F38:H38 F32:G37">
    <cfRule type="expression" dxfId="11633" priority="1216">
      <formula>$E32=""</formula>
    </cfRule>
  </conditionalFormatting>
  <conditionalFormatting sqref="F38:H38 F32:G37">
    <cfRule type="expression" dxfId="11632" priority="1215">
      <formula>$E32=""</formula>
    </cfRule>
  </conditionalFormatting>
  <conditionalFormatting sqref="F38:H38 F32:G37">
    <cfRule type="expression" dxfId="11631" priority="1214">
      <formula>$C32&lt;$E$3</formula>
    </cfRule>
  </conditionalFormatting>
  <conditionalFormatting sqref="F38:H38 F32:G37">
    <cfRule type="expression" dxfId="11630" priority="1213">
      <formula>$E32=""</formula>
    </cfRule>
  </conditionalFormatting>
  <conditionalFormatting sqref="F38:H38 F32:G37">
    <cfRule type="expression" dxfId="11629" priority="1212">
      <formula>$C32&lt;$E$3</formula>
    </cfRule>
  </conditionalFormatting>
  <conditionalFormatting sqref="F38:H38 F32:G37">
    <cfRule type="expression" dxfId="11628" priority="1211">
      <formula>$E32=""</formula>
    </cfRule>
  </conditionalFormatting>
  <conditionalFormatting sqref="F38:H38 F32:G37">
    <cfRule type="expression" dxfId="11627" priority="1210">
      <formula>$C32&lt;$E$3</formula>
    </cfRule>
  </conditionalFormatting>
  <conditionalFormatting sqref="F38:H38 F32:G37">
    <cfRule type="expression" dxfId="11626" priority="1209">
      <formula>$E32=""</formula>
    </cfRule>
  </conditionalFormatting>
  <conditionalFormatting sqref="F41:H47">
    <cfRule type="expression" dxfId="11625" priority="1208">
      <formula>$C41&lt;$E$3</formula>
    </cfRule>
  </conditionalFormatting>
  <conditionalFormatting sqref="F41:H47">
    <cfRule type="expression" dxfId="11624" priority="1204">
      <formula>$C41=$E$3</formula>
    </cfRule>
    <cfRule type="expression" dxfId="11623" priority="1205">
      <formula>$C41&lt;$E$3</formula>
    </cfRule>
    <cfRule type="cellIs" dxfId="11622" priority="1206" operator="equal">
      <formula>0</formula>
    </cfRule>
    <cfRule type="expression" dxfId="11621" priority="1207">
      <formula>$C41&gt;$E$3</formula>
    </cfRule>
  </conditionalFormatting>
  <conditionalFormatting sqref="F41:H47">
    <cfRule type="expression" dxfId="11620" priority="1203">
      <formula>$C41&lt;$E$3</formula>
    </cfRule>
  </conditionalFormatting>
  <conditionalFormatting sqref="F41:H47">
    <cfRule type="expression" dxfId="11619" priority="1199">
      <formula>$C41=$E$3</formula>
    </cfRule>
    <cfRule type="expression" dxfId="11618" priority="1200">
      <formula>$C41&lt;$E$3</formula>
    </cfRule>
    <cfRule type="cellIs" dxfId="11617" priority="1201" operator="equal">
      <formula>0</formula>
    </cfRule>
    <cfRule type="expression" dxfId="11616" priority="1202">
      <formula>$C41&gt;$E$3</formula>
    </cfRule>
  </conditionalFormatting>
  <conditionalFormatting sqref="F41:H47">
    <cfRule type="expression" dxfId="11615" priority="1198">
      <formula>$E41=""</formula>
    </cfRule>
  </conditionalFormatting>
  <conditionalFormatting sqref="F41:H47">
    <cfRule type="expression" dxfId="11614" priority="1197">
      <formula>$C41&lt;$E$3</formula>
    </cfRule>
  </conditionalFormatting>
  <conditionalFormatting sqref="F41:H47">
    <cfRule type="expression" dxfId="11613" priority="1196">
      <formula>$E41=""</formula>
    </cfRule>
  </conditionalFormatting>
  <conditionalFormatting sqref="F41:H47">
    <cfRule type="expression" dxfId="11612" priority="1195">
      <formula>$E41=""</formula>
    </cfRule>
  </conditionalFormatting>
  <conditionalFormatting sqref="F41:H47">
    <cfRule type="expression" dxfId="11611" priority="1194">
      <formula>$C41&lt;$E$3</formula>
    </cfRule>
  </conditionalFormatting>
  <conditionalFormatting sqref="F41:H47">
    <cfRule type="expression" dxfId="11610" priority="1193">
      <formula>$E41=""</formula>
    </cfRule>
  </conditionalFormatting>
  <conditionalFormatting sqref="F41:H47">
    <cfRule type="expression" dxfId="11609" priority="1192">
      <formula>$C41&lt;$E$3</formula>
    </cfRule>
  </conditionalFormatting>
  <conditionalFormatting sqref="F41:H47">
    <cfRule type="expression" dxfId="11608" priority="1191">
      <formula>$E41=""</formula>
    </cfRule>
  </conditionalFormatting>
  <conditionalFormatting sqref="F41:H47">
    <cfRule type="expression" dxfId="11607" priority="1190">
      <formula>$C41&lt;$E$3</formula>
    </cfRule>
  </conditionalFormatting>
  <conditionalFormatting sqref="F41:H47">
    <cfRule type="expression" dxfId="11606" priority="1189">
      <formula>$E41=""</formula>
    </cfRule>
  </conditionalFormatting>
  <conditionalFormatting sqref="F50:H51">
    <cfRule type="cellIs" dxfId="11605" priority="1188" stopIfTrue="1" operator="lessThan">
      <formula>0</formula>
    </cfRule>
  </conditionalFormatting>
  <conditionalFormatting sqref="F50:H51">
    <cfRule type="expression" dxfId="11604" priority="1187">
      <formula>$C50&lt;$E$3</formula>
    </cfRule>
  </conditionalFormatting>
  <conditionalFormatting sqref="F50:H51">
    <cfRule type="expression" dxfId="11603" priority="1183">
      <formula>$C50=$E$3</formula>
    </cfRule>
    <cfRule type="expression" dxfId="11602" priority="1184">
      <formula>$C50&lt;$E$3</formula>
    </cfRule>
    <cfRule type="cellIs" dxfId="11601" priority="1185" operator="equal">
      <formula>0</formula>
    </cfRule>
    <cfRule type="expression" dxfId="11600" priority="1186">
      <formula>$C50&gt;$E$3</formula>
    </cfRule>
  </conditionalFormatting>
  <conditionalFormatting sqref="F50:H51">
    <cfRule type="expression" dxfId="11599" priority="1182">
      <formula>$C50&lt;$E$3</formula>
    </cfRule>
  </conditionalFormatting>
  <conditionalFormatting sqref="F50:H51">
    <cfRule type="expression" dxfId="11598" priority="1178">
      <formula>$C50=$E$3</formula>
    </cfRule>
    <cfRule type="expression" dxfId="11597" priority="1179">
      <formula>$C50&lt;$E$3</formula>
    </cfRule>
    <cfRule type="cellIs" dxfId="11596" priority="1180" operator="equal">
      <formula>0</formula>
    </cfRule>
    <cfRule type="expression" dxfId="11595" priority="1181">
      <formula>$C50&gt;$E$3</formula>
    </cfRule>
  </conditionalFormatting>
  <conditionalFormatting sqref="F50:H51">
    <cfRule type="expression" dxfId="11594" priority="1177">
      <formula>$C50&lt;$E$3</formula>
    </cfRule>
  </conditionalFormatting>
  <conditionalFormatting sqref="F50:H51">
    <cfRule type="expression" dxfId="11593" priority="1173">
      <formula>$C50=$E$3</formula>
    </cfRule>
    <cfRule type="expression" dxfId="11592" priority="1174">
      <formula>$C50&lt;$E$3</formula>
    </cfRule>
    <cfRule type="cellIs" dxfId="11591" priority="1175" operator="equal">
      <formula>0</formula>
    </cfRule>
    <cfRule type="expression" dxfId="11590" priority="1176">
      <formula>$C50&gt;$E$3</formula>
    </cfRule>
  </conditionalFormatting>
  <conditionalFormatting sqref="F50:H51">
    <cfRule type="expression" dxfId="11589" priority="1172">
      <formula>$C50&lt;$E$3</formula>
    </cfRule>
  </conditionalFormatting>
  <conditionalFormatting sqref="F50:H51">
    <cfRule type="expression" dxfId="11588" priority="1168">
      <formula>$C50=$E$3</formula>
    </cfRule>
    <cfRule type="expression" dxfId="11587" priority="1169">
      <formula>$C50&lt;$E$3</formula>
    </cfRule>
    <cfRule type="cellIs" dxfId="11586" priority="1170" operator="equal">
      <formula>0</formula>
    </cfRule>
    <cfRule type="expression" dxfId="11585" priority="1171">
      <formula>$C50&gt;$E$3</formula>
    </cfRule>
  </conditionalFormatting>
  <conditionalFormatting sqref="F50:H51">
    <cfRule type="expression" dxfId="11584" priority="1167">
      <formula>$E50=""</formula>
    </cfRule>
  </conditionalFormatting>
  <conditionalFormatting sqref="F50:H51">
    <cfRule type="expression" dxfId="11583" priority="1166">
      <formula>$C50&lt;$E$3</formula>
    </cfRule>
  </conditionalFormatting>
  <conditionalFormatting sqref="F50:H51">
    <cfRule type="expression" dxfId="11582" priority="1165">
      <formula>$E50=""</formula>
    </cfRule>
  </conditionalFormatting>
  <conditionalFormatting sqref="F50:H51">
    <cfRule type="expression" dxfId="11581" priority="1164">
      <formula>$E50=""</formula>
    </cfRule>
  </conditionalFormatting>
  <conditionalFormatting sqref="F50:H51">
    <cfRule type="expression" dxfId="11580" priority="1163">
      <formula>$C50&lt;$E$3</formula>
    </cfRule>
  </conditionalFormatting>
  <conditionalFormatting sqref="F50:H51">
    <cfRule type="expression" dxfId="11579" priority="1162">
      <formula>$E50=""</formula>
    </cfRule>
  </conditionalFormatting>
  <conditionalFormatting sqref="F50:H51">
    <cfRule type="expression" dxfId="11578" priority="1161">
      <formula>$C50&lt;$E$3</formula>
    </cfRule>
  </conditionalFormatting>
  <conditionalFormatting sqref="F50:H51">
    <cfRule type="expression" dxfId="11577" priority="1160">
      <formula>$E50=""</formula>
    </cfRule>
  </conditionalFormatting>
  <conditionalFormatting sqref="F50:H51">
    <cfRule type="expression" dxfId="11576" priority="1159">
      <formula>$C50&lt;$E$3</formula>
    </cfRule>
  </conditionalFormatting>
  <conditionalFormatting sqref="F50:H51">
    <cfRule type="expression" dxfId="11575" priority="1158">
      <formula>$E50=""</formula>
    </cfRule>
  </conditionalFormatting>
  <conditionalFormatting sqref="E14:E20 E5:E11 E41:E47 E32:E38 E23:E29 E50:E51">
    <cfRule type="containsText" dxfId="11574" priority="1151" operator="containsText" text="Sa">
      <formula>NOT(ISERROR(SEARCH("Sa",E5)))</formula>
    </cfRule>
    <cfRule type="containsText" dxfId="11573" priority="1153" operator="containsText" text="Fr">
      <formula>NOT(ISERROR(SEARCH("Fr",E5)))</formula>
    </cfRule>
    <cfRule type="containsText" dxfId="11572" priority="1154" operator="containsText" text="Th">
      <formula>NOT(ISERROR(SEARCH("Th",E5)))</formula>
    </cfRule>
  </conditionalFormatting>
  <conditionalFormatting sqref="E14:E20 E5:E11 E41:E47 E32:E38 E23:E29 E50:E51">
    <cfRule type="containsText" dxfId="11571" priority="1155" operator="containsText" text="Wed">
      <formula>NOT(ISERROR(SEARCH("Wed",E5)))</formula>
    </cfRule>
    <cfRule type="containsText" dxfId="11570" priority="1156" operator="containsText" text="Tu">
      <formula>NOT(ISERROR(SEARCH("Tu",E5)))</formula>
    </cfRule>
    <cfRule type="beginsWith" dxfId="11569" priority="1157" operator="beginsWith" text="M">
      <formula>LEFT(E5,1)="M"</formula>
    </cfRule>
  </conditionalFormatting>
  <conditionalFormatting sqref="E14:E20 E5:E11 E41:E47 E32:E38 E23:E29 E50:E51">
    <cfRule type="containsText" dxfId="11568" priority="1152" operator="containsText" text="Su">
      <formula>NOT(ISERROR(SEARCH("Su",E5)))</formula>
    </cfRule>
  </conditionalFormatting>
  <conditionalFormatting sqref="C4">
    <cfRule type="cellIs" dxfId="11567" priority="1147" stopIfTrue="1" operator="notBetween">
      <formula>$B$2</formula>
      <formula>$B$3</formula>
    </cfRule>
  </conditionalFormatting>
  <conditionalFormatting sqref="C4">
    <cfRule type="cellIs" dxfId="11566" priority="1148" operator="greaterThan">
      <formula>$E$3</formula>
    </cfRule>
    <cfRule type="cellIs" dxfId="11565" priority="1149" operator="equal">
      <formula>$E$3</formula>
    </cfRule>
    <cfRule type="cellIs" dxfId="11564" priority="1150" operator="lessThan">
      <formula>$E$3</formula>
    </cfRule>
  </conditionalFormatting>
  <conditionalFormatting sqref="N15:N18 J23:J29 J14:J20 J5:J11 J50:J51 L14:M20 L23:M29 J41:N47 L50:N51 J32:J38 L32:M38 L5:N11">
    <cfRule type="cellIs" dxfId="11563" priority="1146" stopIfTrue="1" operator="lessThan">
      <formula>0</formula>
    </cfRule>
  </conditionalFormatting>
  <conditionalFormatting sqref="J5:J11 J50:J51 L5:M11 L50:M51 J14:M20 J23:M29 J41:M47 J32:M38">
    <cfRule type="expression" dxfId="11562" priority="1144">
      <formula>$C5&lt;$E$3</formula>
    </cfRule>
  </conditionalFormatting>
  <conditionalFormatting sqref="J5:J11 J50:J51 L5:M11 L50:M51 J14:M20 J23:M29 J41:M47 J32:M38">
    <cfRule type="expression" dxfId="11561" priority="1141">
      <formula>$C5=$E$3</formula>
    </cfRule>
    <cfRule type="expression" dxfId="11560" priority="1142">
      <formula>$C5&lt;$E$3</formula>
    </cfRule>
    <cfRule type="cellIs" dxfId="11559" priority="1143" operator="equal">
      <formula>0</formula>
    </cfRule>
    <cfRule type="expression" dxfId="11558" priority="1145">
      <formula>$C5&gt;$E$3</formula>
    </cfRule>
  </conditionalFormatting>
  <conditionalFormatting sqref="J5:J11 J50:J51 L5:M11 L50:M51 J14:M20 J23:M29 J41:M47 J32:M38">
    <cfRule type="expression" dxfId="11557" priority="1140">
      <formula>$E5=""</formula>
    </cfRule>
  </conditionalFormatting>
  <conditionalFormatting sqref="J5:J11 J50:J51 L5:M11 L50:M51 J14:M20 J23:M29 J41:M47 J32:M38">
    <cfRule type="expression" dxfId="11556" priority="1139">
      <formula>$E5=""</formula>
    </cfRule>
  </conditionalFormatting>
  <conditionalFormatting sqref="J5:J11 J50:J51 L5:M11 L50:M51 J14:M20 J23:M29 J41:M47 J32:M38">
    <cfRule type="expression" dxfId="11555" priority="1138">
      <formula>$E5=""</formula>
    </cfRule>
  </conditionalFormatting>
  <conditionalFormatting sqref="M5:M11 M14:M20 M23:M29 M32:M38 M41:M47 M50:M51">
    <cfRule type="expression" dxfId="11554" priority="1137">
      <formula>$C5&lt;$E$3</formula>
    </cfRule>
  </conditionalFormatting>
  <conditionalFormatting sqref="M5:M11 M14:M20 M23:M29 M32:M38 M41:M47 M50:M51">
    <cfRule type="expression" dxfId="11553" priority="1133">
      <formula>$C5=$E$3</formula>
    </cfRule>
    <cfRule type="expression" dxfId="11552" priority="1134">
      <formula>$C5&lt;$E$3</formula>
    </cfRule>
    <cfRule type="cellIs" dxfId="11551" priority="1135" operator="equal">
      <formula>0</formula>
    </cfRule>
    <cfRule type="expression" dxfId="11550" priority="1136">
      <formula>$C5&gt;$E$3</formula>
    </cfRule>
  </conditionalFormatting>
  <conditionalFormatting sqref="M5:M11 M14:M20 M23:M29 M32:M38 M41:M47 M50:M51">
    <cfRule type="expression" dxfId="11549" priority="1132">
      <formula>$C5&lt;$E$3</formula>
    </cfRule>
  </conditionalFormatting>
  <conditionalFormatting sqref="M5:M11 M14:M20 M23:M29 M32:M38 M41:M47 M50:M51">
    <cfRule type="expression" dxfId="11548" priority="1128">
      <formula>$C5=$E$3</formula>
    </cfRule>
    <cfRule type="expression" dxfId="11547" priority="1129">
      <formula>$C5&lt;$E$3</formula>
    </cfRule>
    <cfRule type="cellIs" dxfId="11546" priority="1130" operator="equal">
      <formula>0</formula>
    </cfRule>
    <cfRule type="expression" dxfId="11545" priority="1131">
      <formula>$C5&gt;$E$3</formula>
    </cfRule>
  </conditionalFormatting>
  <conditionalFormatting sqref="M5:M11 M14:M20 M23:M29 M32:M38 M41:M47 M50:M51">
    <cfRule type="expression" dxfId="11544" priority="1127">
      <formula>$C5&lt;$E$3</formula>
    </cfRule>
  </conditionalFormatting>
  <conditionalFormatting sqref="M5:M11 M14:M20 M23:M29 M32:M38 M41:M47 M50:M51">
    <cfRule type="expression" dxfId="11543" priority="1123">
      <formula>$C5=$E$3</formula>
    </cfRule>
    <cfRule type="expression" dxfId="11542" priority="1124">
      <formula>$C5&lt;$E$3</formula>
    </cfRule>
    <cfRule type="cellIs" dxfId="11541" priority="1125" operator="equal">
      <formula>0</formula>
    </cfRule>
    <cfRule type="expression" dxfId="11540" priority="1126">
      <formula>$C5&gt;$E$3</formula>
    </cfRule>
  </conditionalFormatting>
  <conditionalFormatting sqref="M5:M11 M14:M20 M23:M29 M32:M38 M41:M47 M50:M51">
    <cfRule type="expression" dxfId="11539" priority="1122">
      <formula>$C5&lt;$E$3</formula>
    </cfRule>
  </conditionalFormatting>
  <conditionalFormatting sqref="M5:M11 M14:M20 M23:M29 M32:M38 M41:M47 M50:M51">
    <cfRule type="expression" dxfId="11538" priority="1118">
      <formula>$C5=$E$3</formula>
    </cfRule>
    <cfRule type="expression" dxfId="11537" priority="1119">
      <formula>$C5&lt;$E$3</formula>
    </cfRule>
    <cfRule type="cellIs" dxfId="11536" priority="1120" operator="equal">
      <formula>0</formula>
    </cfRule>
    <cfRule type="expression" dxfId="11535" priority="1121">
      <formula>$C5&gt;$E$3</formula>
    </cfRule>
  </conditionalFormatting>
  <conditionalFormatting sqref="M5:M11 M14:M20 M23:M29 M32:M38 M41:M47 M50:M51">
    <cfRule type="expression" dxfId="11534" priority="1117">
      <formula>$E5=""</formula>
    </cfRule>
  </conditionalFormatting>
  <conditionalFormatting sqref="M5:M11 M14:M20 M23:M29 M32:M38 M41:M47 M50:M51">
    <cfRule type="expression" dxfId="11533" priority="1116">
      <formula>$C5&lt;$E$3</formula>
    </cfRule>
  </conditionalFormatting>
  <conditionalFormatting sqref="M5:M11 M14:M20 M23:M29 M32:M38 M41:M47 M50:M51">
    <cfRule type="expression" dxfId="11532" priority="1115">
      <formula>$E5=""</formula>
    </cfRule>
  </conditionalFormatting>
  <conditionalFormatting sqref="M5:M11 M14:M20 M23:M29 M32:M38 M41:M47 M50:M51">
    <cfRule type="expression" dxfId="11531" priority="1114">
      <formula>$E5=""</formula>
    </cfRule>
  </conditionalFormatting>
  <conditionalFormatting sqref="M5:M11 M14:M20 M23:M29 M32:M38 M41:M47 M50:M51">
    <cfRule type="expression" dxfId="11530" priority="1113">
      <formula>$C5&lt;$E$3</formula>
    </cfRule>
  </conditionalFormatting>
  <conditionalFormatting sqref="M5:M11 M14:M20 M23:M29 M32:M38 M41:M47 M50:M51">
    <cfRule type="expression" dxfId="11529" priority="1112">
      <formula>$E5=""</formula>
    </cfRule>
  </conditionalFormatting>
  <conditionalFormatting sqref="M5:M11 M14:M20 M23:M29 M32:M38 M41:M47 M50:M51">
    <cfRule type="expression" dxfId="11528" priority="1111">
      <formula>$C5&lt;$E$3</formula>
    </cfRule>
  </conditionalFormatting>
  <conditionalFormatting sqref="M5:M11 M14:M20 M23:M29 M32:M38 M41:M47 M50:M51">
    <cfRule type="expression" dxfId="11527" priority="1110">
      <formula>$E5=""</formula>
    </cfRule>
  </conditionalFormatting>
  <conditionalFormatting sqref="M5:M11 M14:M20 M23:M29 M32:M38 M41:M47 M50:M51">
    <cfRule type="expression" dxfId="11526" priority="1109">
      <formula>$C5&lt;$E$3</formula>
    </cfRule>
  </conditionalFormatting>
  <conditionalFormatting sqref="M5:M11 M14:M20 M23:M29 M32:M38 M41:M47 M50:M51">
    <cfRule type="expression" dxfId="11525" priority="1108">
      <formula>$E5=""</formula>
    </cfRule>
  </conditionalFormatting>
  <conditionalFormatting sqref="M5:M11 M14:M20 M23:M29 M32:M38 M41:M47 M50:M51">
    <cfRule type="expression" dxfId="11524" priority="1107">
      <formula>$C5&lt;$E$3</formula>
    </cfRule>
  </conditionalFormatting>
  <conditionalFormatting sqref="M5:M11 M14:M20 M23:M29 M32:M38 M41:M47 M50:M51">
    <cfRule type="expression" dxfId="11523" priority="1103">
      <formula>$C5=$E$3</formula>
    </cfRule>
    <cfRule type="expression" dxfId="11522" priority="1104">
      <formula>$C5&lt;$E$3</formula>
    </cfRule>
    <cfRule type="cellIs" dxfId="11521" priority="1105" operator="equal">
      <formula>0</formula>
    </cfRule>
    <cfRule type="expression" dxfId="11520" priority="1106">
      <formula>$C5&gt;$E$3</formula>
    </cfRule>
  </conditionalFormatting>
  <conditionalFormatting sqref="M5:M11 M14:M20 M23:M29 M32:M38 M41:M47 M50:M51">
    <cfRule type="expression" dxfId="11519" priority="1102">
      <formula>$C5&lt;$E$3</formula>
    </cfRule>
  </conditionalFormatting>
  <conditionalFormatting sqref="M5:M11 M14:M20 M23:M29 M32:M38 M41:M47 M50:M51">
    <cfRule type="expression" dxfId="11518" priority="1098">
      <formula>$C5=$E$3</formula>
    </cfRule>
    <cfRule type="expression" dxfId="11517" priority="1099">
      <formula>$C5&lt;$E$3</formula>
    </cfRule>
    <cfRule type="cellIs" dxfId="11516" priority="1100" operator="equal">
      <formula>0</formula>
    </cfRule>
    <cfRule type="expression" dxfId="11515" priority="1101">
      <formula>$C5&gt;$E$3</formula>
    </cfRule>
  </conditionalFormatting>
  <conditionalFormatting sqref="M5:M11 M14:M20 M23:M29 M32:M38 M41:M47 M50:M51">
    <cfRule type="expression" dxfId="11514" priority="1097">
      <formula>$C5&lt;$E$3</formula>
    </cfRule>
  </conditionalFormatting>
  <conditionalFormatting sqref="M5:M11 M14:M20 M23:M29 M32:M38 M41:M47 M50:M51">
    <cfRule type="expression" dxfId="11513" priority="1093">
      <formula>$C5=$E$3</formula>
    </cfRule>
    <cfRule type="expression" dxfId="11512" priority="1094">
      <formula>$C5&lt;$E$3</formula>
    </cfRule>
    <cfRule type="cellIs" dxfId="11511" priority="1095" operator="equal">
      <formula>0</formula>
    </cfRule>
    <cfRule type="expression" dxfId="11510" priority="1096">
      <formula>$C5&gt;$E$3</formula>
    </cfRule>
  </conditionalFormatting>
  <conditionalFormatting sqref="M5:M11 M14:M20 M23:M29 M32:M38 M41:M47 M50:M51">
    <cfRule type="expression" dxfId="11509" priority="1092">
      <formula>$C5&lt;$E$3</formula>
    </cfRule>
  </conditionalFormatting>
  <conditionalFormatting sqref="M5:M11 M14:M20 M23:M29 M32:M38 M41:M47 M50:M51">
    <cfRule type="expression" dxfId="11508" priority="1088">
      <formula>$C5=$E$3</formula>
    </cfRule>
    <cfRule type="expression" dxfId="11507" priority="1089">
      <formula>$C5&lt;$E$3</formula>
    </cfRule>
    <cfRule type="cellIs" dxfId="11506" priority="1090" operator="equal">
      <formula>0</formula>
    </cfRule>
    <cfRule type="expression" dxfId="11505" priority="1091">
      <formula>$C5&gt;$E$3</formula>
    </cfRule>
  </conditionalFormatting>
  <conditionalFormatting sqref="M5:M11 M14:M20 M23:M29 M32:M38 M41:M47 M50:M51">
    <cfRule type="expression" dxfId="11504" priority="1087">
      <formula>$E5=""</formula>
    </cfRule>
  </conditionalFormatting>
  <conditionalFormatting sqref="M5:M11 M14:M20 M23:M29 M32:M38 M41:M47 M50:M51">
    <cfRule type="expression" dxfId="11503" priority="1086">
      <formula>$C5&lt;$E$3</formula>
    </cfRule>
  </conditionalFormatting>
  <conditionalFormatting sqref="M5:M11 M14:M20 M23:M29 M32:M38 M41:M47 M50:M51">
    <cfRule type="expression" dxfId="11502" priority="1085">
      <formula>$E5=""</formula>
    </cfRule>
  </conditionalFormatting>
  <conditionalFormatting sqref="M5:M11 M14:M20 M23:M29 M32:M38 M41:M47 M50:M51">
    <cfRule type="expression" dxfId="11501" priority="1084">
      <formula>$E5=""</formula>
    </cfRule>
  </conditionalFormatting>
  <conditionalFormatting sqref="M5:M11 M14:M20 M23:M29 M32:M38 M41:M47 M50:M51">
    <cfRule type="expression" dxfId="11500" priority="1083">
      <formula>$C5&lt;$E$3</formula>
    </cfRule>
  </conditionalFormatting>
  <conditionalFormatting sqref="M5:M11 M14:M20 M23:M29 M32:M38 M41:M47 M50:M51">
    <cfRule type="expression" dxfId="11499" priority="1082">
      <formula>$E5=""</formula>
    </cfRule>
  </conditionalFormatting>
  <conditionalFormatting sqref="M5:M11 M14:M20 M23:M29 M32:M38 M41:M47 M50:M51">
    <cfRule type="expression" dxfId="11498" priority="1081">
      <formula>$C5&lt;$E$3</formula>
    </cfRule>
  </conditionalFormatting>
  <conditionalFormatting sqref="M5:M11 M14:M20 M23:M29 M32:M38 M41:M47 M50:M51">
    <cfRule type="expression" dxfId="11497" priority="1080">
      <formula>$E5=""</formula>
    </cfRule>
  </conditionalFormatting>
  <conditionalFormatting sqref="M5:M11 M14:M20 M23:M29 M32:M38 M41:M47 M50:M51">
    <cfRule type="expression" dxfId="11496" priority="1079">
      <formula>$C5&lt;$E$3</formula>
    </cfRule>
  </conditionalFormatting>
  <conditionalFormatting sqref="M5:M11 M14:M20 M23:M29 M32:M38 M41:M47 M50:M51">
    <cfRule type="expression" dxfId="11495" priority="1078">
      <formula>$E5=""</formula>
    </cfRule>
  </conditionalFormatting>
  <conditionalFormatting sqref="K10">
    <cfRule type="expression" dxfId="11494" priority="1077">
      <formula>$C10&lt;$E$3</formula>
    </cfRule>
  </conditionalFormatting>
  <conditionalFormatting sqref="K10">
    <cfRule type="expression" dxfId="11493" priority="1073">
      <formula>$C10=$E$3</formula>
    </cfRule>
    <cfRule type="expression" dxfId="11492" priority="1074">
      <formula>$C10&lt;$E$3</formula>
    </cfRule>
    <cfRule type="cellIs" dxfId="11491" priority="1075" operator="equal">
      <formula>0</formula>
    </cfRule>
    <cfRule type="expression" dxfId="11490" priority="1076">
      <formula>$C10&gt;$E$3</formula>
    </cfRule>
  </conditionalFormatting>
  <conditionalFormatting sqref="K10">
    <cfRule type="expression" dxfId="11489" priority="1072">
      <formula>$C10&lt;$E$3</formula>
    </cfRule>
  </conditionalFormatting>
  <conditionalFormatting sqref="K10">
    <cfRule type="expression" dxfId="11488" priority="1068">
      <formula>$C10=$E$3</formula>
    </cfRule>
    <cfRule type="expression" dxfId="11487" priority="1069">
      <formula>$C10&lt;$E$3</formula>
    </cfRule>
    <cfRule type="cellIs" dxfId="11486" priority="1070" operator="equal">
      <formula>0</formula>
    </cfRule>
    <cfRule type="expression" dxfId="11485" priority="1071">
      <formula>$C10&gt;$E$3</formula>
    </cfRule>
  </conditionalFormatting>
  <conditionalFormatting sqref="K10">
    <cfRule type="expression" dxfId="11484" priority="1067">
      <formula>$C10&lt;$E$3</formula>
    </cfRule>
  </conditionalFormatting>
  <conditionalFormatting sqref="K10">
    <cfRule type="expression" dxfId="11483" priority="1063">
      <formula>$C10=$E$3</formula>
    </cfRule>
    <cfRule type="expression" dxfId="11482" priority="1064">
      <formula>$C10&lt;$E$3</formula>
    </cfRule>
    <cfRule type="cellIs" dxfId="11481" priority="1065" operator="equal">
      <formula>0</formula>
    </cfRule>
    <cfRule type="expression" dxfId="11480" priority="1066">
      <formula>$C10&gt;$E$3</formula>
    </cfRule>
  </conditionalFormatting>
  <conditionalFormatting sqref="K10">
    <cfRule type="expression" dxfId="11479" priority="1062">
      <formula>$C10&lt;$E$3</formula>
    </cfRule>
  </conditionalFormatting>
  <conditionalFormatting sqref="K10">
    <cfRule type="expression" dxfId="11478" priority="1058">
      <formula>$C10=$E$3</formula>
    </cfRule>
    <cfRule type="expression" dxfId="11477" priority="1059">
      <formula>$C10&lt;$E$3</formula>
    </cfRule>
    <cfRule type="cellIs" dxfId="11476" priority="1060" operator="equal">
      <formula>0</formula>
    </cfRule>
    <cfRule type="expression" dxfId="11475" priority="1061">
      <formula>$C10&gt;$E$3</formula>
    </cfRule>
  </conditionalFormatting>
  <conditionalFormatting sqref="K10">
    <cfRule type="expression" dxfId="11474" priority="1057">
      <formula>$E10=""</formula>
    </cfRule>
  </conditionalFormatting>
  <conditionalFormatting sqref="K10">
    <cfRule type="expression" dxfId="11473" priority="1056">
      <formula>$C10&lt;$E$3</formula>
    </cfRule>
  </conditionalFormatting>
  <conditionalFormatting sqref="K10">
    <cfRule type="expression" dxfId="11472" priority="1055">
      <formula>$E10=""</formula>
    </cfRule>
  </conditionalFormatting>
  <conditionalFormatting sqref="K10">
    <cfRule type="expression" dxfId="11471" priority="1054">
      <formula>$E10=""</formula>
    </cfRule>
  </conditionalFormatting>
  <conditionalFormatting sqref="K10">
    <cfRule type="expression" dxfId="11470" priority="1053">
      <formula>$C10&lt;$E$3</formula>
    </cfRule>
  </conditionalFormatting>
  <conditionalFormatting sqref="K10">
    <cfRule type="expression" dxfId="11469" priority="1052">
      <formula>$E10=""</formula>
    </cfRule>
  </conditionalFormatting>
  <conditionalFormatting sqref="K10">
    <cfRule type="expression" dxfId="11468" priority="1051">
      <formula>$C10&lt;$E$3</formula>
    </cfRule>
  </conditionalFormatting>
  <conditionalFormatting sqref="K10">
    <cfRule type="expression" dxfId="11467" priority="1050">
      <formula>$E10=""</formula>
    </cfRule>
  </conditionalFormatting>
  <conditionalFormatting sqref="K10">
    <cfRule type="expression" dxfId="11466" priority="1049">
      <formula>$C10&lt;$E$3</formula>
    </cfRule>
  </conditionalFormatting>
  <conditionalFormatting sqref="K10">
    <cfRule type="expression" dxfId="11465" priority="1048">
      <formula>$E10=""</formula>
    </cfRule>
  </conditionalFormatting>
  <conditionalFormatting sqref="K10">
    <cfRule type="expression" dxfId="11464" priority="1047">
      <formula>$C10&lt;$E$3</formula>
    </cfRule>
  </conditionalFormatting>
  <conditionalFormatting sqref="K10">
    <cfRule type="expression" dxfId="11463" priority="1043">
      <formula>$C10=$E$3</formula>
    </cfRule>
    <cfRule type="expression" dxfId="11462" priority="1044">
      <formula>$C10&lt;$E$3</formula>
    </cfRule>
    <cfRule type="cellIs" dxfId="11461" priority="1045" operator="equal">
      <formula>0</formula>
    </cfRule>
    <cfRule type="expression" dxfId="11460" priority="1046">
      <formula>$C10&gt;$E$3</formula>
    </cfRule>
  </conditionalFormatting>
  <conditionalFormatting sqref="K10">
    <cfRule type="expression" dxfId="11459" priority="1042">
      <formula>$C10&lt;$E$3</formula>
    </cfRule>
  </conditionalFormatting>
  <conditionalFormatting sqref="K10">
    <cfRule type="expression" dxfId="11458" priority="1038">
      <formula>$C10=$E$3</formula>
    </cfRule>
    <cfRule type="expression" dxfId="11457" priority="1039">
      <formula>$C10&lt;$E$3</formula>
    </cfRule>
    <cfRule type="cellIs" dxfId="11456" priority="1040" operator="equal">
      <formula>0</formula>
    </cfRule>
    <cfRule type="expression" dxfId="11455" priority="1041">
      <formula>$C10&gt;$E$3</formula>
    </cfRule>
  </conditionalFormatting>
  <conditionalFormatting sqref="K10">
    <cfRule type="expression" dxfId="11454" priority="1037">
      <formula>$C10&lt;$E$3</formula>
    </cfRule>
  </conditionalFormatting>
  <conditionalFormatting sqref="K10">
    <cfRule type="expression" dxfId="11453" priority="1033">
      <formula>$C10=$E$3</formula>
    </cfRule>
    <cfRule type="expression" dxfId="11452" priority="1034">
      <formula>$C10&lt;$E$3</formula>
    </cfRule>
    <cfRule type="cellIs" dxfId="11451" priority="1035" operator="equal">
      <formula>0</formula>
    </cfRule>
    <cfRule type="expression" dxfId="11450" priority="1036">
      <formula>$C10&gt;$E$3</formula>
    </cfRule>
  </conditionalFormatting>
  <conditionalFormatting sqref="K10">
    <cfRule type="expression" dxfId="11449" priority="1032">
      <formula>$C10&lt;$E$3</formula>
    </cfRule>
  </conditionalFormatting>
  <conditionalFormatting sqref="K10">
    <cfRule type="expression" dxfId="11448" priority="1028">
      <formula>$C10=$E$3</formula>
    </cfRule>
    <cfRule type="expression" dxfId="11447" priority="1029">
      <formula>$C10&lt;$E$3</formula>
    </cfRule>
    <cfRule type="cellIs" dxfId="11446" priority="1030" operator="equal">
      <formula>0</formula>
    </cfRule>
    <cfRule type="expression" dxfId="11445" priority="1031">
      <formula>$C10&gt;$E$3</formula>
    </cfRule>
  </conditionalFormatting>
  <conditionalFormatting sqref="K10">
    <cfRule type="expression" dxfId="11444" priority="1027">
      <formula>$E10=""</formula>
    </cfRule>
  </conditionalFormatting>
  <conditionalFormatting sqref="K10">
    <cfRule type="expression" dxfId="11443" priority="1026">
      <formula>$C10&lt;$E$3</formula>
    </cfRule>
  </conditionalFormatting>
  <conditionalFormatting sqref="K10">
    <cfRule type="expression" dxfId="11442" priority="1025">
      <formula>$E10=""</formula>
    </cfRule>
  </conditionalFormatting>
  <conditionalFormatting sqref="K10">
    <cfRule type="expression" dxfId="11441" priority="1024">
      <formula>$E10=""</formula>
    </cfRule>
  </conditionalFormatting>
  <conditionalFormatting sqref="K10">
    <cfRule type="expression" dxfId="11440" priority="1023">
      <formula>$C10&lt;$E$3</formula>
    </cfRule>
  </conditionalFormatting>
  <conditionalFormatting sqref="K10">
    <cfRule type="expression" dxfId="11439" priority="1022">
      <formula>$E10=""</formula>
    </cfRule>
  </conditionalFormatting>
  <conditionalFormatting sqref="K10">
    <cfRule type="expression" dxfId="11438" priority="1021">
      <formula>$C10&lt;$E$3</formula>
    </cfRule>
  </conditionalFormatting>
  <conditionalFormatting sqref="K10">
    <cfRule type="expression" dxfId="11437" priority="1020">
      <formula>$E10=""</formula>
    </cfRule>
  </conditionalFormatting>
  <conditionalFormatting sqref="K10">
    <cfRule type="expression" dxfId="11436" priority="1019">
      <formula>$C10&lt;$E$3</formula>
    </cfRule>
  </conditionalFormatting>
  <conditionalFormatting sqref="K10">
    <cfRule type="expression" dxfId="11435" priority="1018">
      <formula>$E10=""</formula>
    </cfRule>
  </conditionalFormatting>
  <conditionalFormatting sqref="K5:K9">
    <cfRule type="expression" dxfId="11434" priority="1017">
      <formula>$C5&lt;$E$3</formula>
    </cfRule>
  </conditionalFormatting>
  <conditionalFormatting sqref="K5:K9">
    <cfRule type="expression" dxfId="11433" priority="1013">
      <formula>$C5=$E$3</formula>
    </cfRule>
    <cfRule type="expression" dxfId="11432" priority="1014">
      <formula>$C5&lt;$E$3</formula>
    </cfRule>
    <cfRule type="cellIs" dxfId="11431" priority="1015" operator="equal">
      <formula>0</formula>
    </cfRule>
    <cfRule type="expression" dxfId="11430" priority="1016">
      <formula>$C5&gt;$E$3</formula>
    </cfRule>
  </conditionalFormatting>
  <conditionalFormatting sqref="K5:K9">
    <cfRule type="expression" dxfId="11429" priority="1012">
      <formula>$C5&lt;$E$3</formula>
    </cfRule>
  </conditionalFormatting>
  <conditionalFormatting sqref="K5:K9">
    <cfRule type="expression" dxfId="11428" priority="1008">
      <formula>$C5=$E$3</formula>
    </cfRule>
    <cfRule type="expression" dxfId="11427" priority="1009">
      <formula>$C5&lt;$E$3</formula>
    </cfRule>
    <cfRule type="cellIs" dxfId="11426" priority="1010" operator="equal">
      <formula>0</formula>
    </cfRule>
    <cfRule type="expression" dxfId="11425" priority="1011">
      <formula>$C5&gt;$E$3</formula>
    </cfRule>
  </conditionalFormatting>
  <conditionalFormatting sqref="K5:K9">
    <cfRule type="expression" dxfId="11424" priority="1007">
      <formula>$C5&lt;$E$3</formula>
    </cfRule>
  </conditionalFormatting>
  <conditionalFormatting sqref="K5:K9">
    <cfRule type="expression" dxfId="11423" priority="1003">
      <formula>$C5=$E$3</formula>
    </cfRule>
    <cfRule type="expression" dxfId="11422" priority="1004">
      <formula>$C5&lt;$E$3</formula>
    </cfRule>
    <cfRule type="cellIs" dxfId="11421" priority="1005" operator="equal">
      <formula>0</formula>
    </cfRule>
    <cfRule type="expression" dxfId="11420" priority="1006">
      <formula>$C5&gt;$E$3</formula>
    </cfRule>
  </conditionalFormatting>
  <conditionalFormatting sqref="K5:K9">
    <cfRule type="expression" dxfId="11419" priority="1002">
      <formula>$C5&lt;$E$3</formula>
    </cfRule>
  </conditionalFormatting>
  <conditionalFormatting sqref="K5:K9">
    <cfRule type="expression" dxfId="11418" priority="998">
      <formula>$C5=$E$3</formula>
    </cfRule>
    <cfRule type="expression" dxfId="11417" priority="999">
      <formula>$C5&lt;$E$3</formula>
    </cfRule>
    <cfRule type="cellIs" dxfId="11416" priority="1000" operator="equal">
      <formula>0</formula>
    </cfRule>
    <cfRule type="expression" dxfId="11415" priority="1001">
      <formula>$C5&gt;$E$3</formula>
    </cfRule>
  </conditionalFormatting>
  <conditionalFormatting sqref="K5:K9">
    <cfRule type="expression" dxfId="11414" priority="997">
      <formula>$E5=""</formula>
    </cfRule>
  </conditionalFormatting>
  <conditionalFormatting sqref="K5:K9">
    <cfRule type="expression" dxfId="11413" priority="996">
      <formula>$C5&lt;$E$3</formula>
    </cfRule>
  </conditionalFormatting>
  <conditionalFormatting sqref="K5:K9">
    <cfRule type="expression" dxfId="11412" priority="995">
      <formula>$E5=""</formula>
    </cfRule>
  </conditionalFormatting>
  <conditionalFormatting sqref="K5:K9">
    <cfRule type="expression" dxfId="11411" priority="994">
      <formula>$E5=""</formula>
    </cfRule>
  </conditionalFormatting>
  <conditionalFormatting sqref="K5:K9">
    <cfRule type="expression" dxfId="11410" priority="993">
      <formula>$C5&lt;$E$3</formula>
    </cfRule>
  </conditionalFormatting>
  <conditionalFormatting sqref="K5:K9">
    <cfRule type="expression" dxfId="11409" priority="992">
      <formula>$E5=""</formula>
    </cfRule>
  </conditionalFormatting>
  <conditionalFormatting sqref="K5:K9">
    <cfRule type="expression" dxfId="11408" priority="991">
      <formula>$C5&lt;$E$3</formula>
    </cfRule>
  </conditionalFormatting>
  <conditionalFormatting sqref="K5:K9">
    <cfRule type="expression" dxfId="11407" priority="990">
      <formula>$E5=""</formula>
    </cfRule>
  </conditionalFormatting>
  <conditionalFormatting sqref="K5:K9">
    <cfRule type="expression" dxfId="11406" priority="989">
      <formula>$C5&lt;$E$3</formula>
    </cfRule>
  </conditionalFormatting>
  <conditionalFormatting sqref="K5:K9">
    <cfRule type="expression" dxfId="11405" priority="988">
      <formula>$E5=""</formula>
    </cfRule>
  </conditionalFormatting>
  <conditionalFormatting sqref="K5:K9">
    <cfRule type="expression" dxfId="11404" priority="987">
      <formula>$C5&lt;$E$3</formula>
    </cfRule>
  </conditionalFormatting>
  <conditionalFormatting sqref="K5:K9">
    <cfRule type="expression" dxfId="11403" priority="983">
      <formula>$C5=$E$3</formula>
    </cfRule>
    <cfRule type="expression" dxfId="11402" priority="984">
      <formula>$C5&lt;$E$3</formula>
    </cfRule>
    <cfRule type="cellIs" dxfId="11401" priority="985" operator="equal">
      <formula>0</formula>
    </cfRule>
    <cfRule type="expression" dxfId="11400" priority="986">
      <formula>$C5&gt;$E$3</formula>
    </cfRule>
  </conditionalFormatting>
  <conditionalFormatting sqref="K5:K9">
    <cfRule type="expression" dxfId="11399" priority="982">
      <formula>$C5&lt;$E$3</formula>
    </cfRule>
  </conditionalFormatting>
  <conditionalFormatting sqref="K5:K9">
    <cfRule type="expression" dxfId="11398" priority="978">
      <formula>$C5=$E$3</formula>
    </cfRule>
    <cfRule type="expression" dxfId="11397" priority="979">
      <formula>$C5&lt;$E$3</formula>
    </cfRule>
    <cfRule type="cellIs" dxfId="11396" priority="980" operator="equal">
      <formula>0</formula>
    </cfRule>
    <cfRule type="expression" dxfId="11395" priority="981">
      <formula>$C5&gt;$E$3</formula>
    </cfRule>
  </conditionalFormatting>
  <conditionalFormatting sqref="K5:K9">
    <cfRule type="expression" dxfId="11394" priority="977">
      <formula>$C5&lt;$E$3</formula>
    </cfRule>
  </conditionalFormatting>
  <conditionalFormatting sqref="K5:K9">
    <cfRule type="expression" dxfId="11393" priority="973">
      <formula>$C5=$E$3</formula>
    </cfRule>
    <cfRule type="expression" dxfId="11392" priority="974">
      <formula>$C5&lt;$E$3</formula>
    </cfRule>
    <cfRule type="cellIs" dxfId="11391" priority="975" operator="equal">
      <formula>0</formula>
    </cfRule>
    <cfRule type="expression" dxfId="11390" priority="976">
      <formula>$C5&gt;$E$3</formula>
    </cfRule>
  </conditionalFormatting>
  <conditionalFormatting sqref="K5:K9">
    <cfRule type="expression" dxfId="11389" priority="972">
      <formula>$C5&lt;$E$3</formula>
    </cfRule>
  </conditionalFormatting>
  <conditionalFormatting sqref="K5:K9">
    <cfRule type="expression" dxfId="11388" priority="968">
      <formula>$C5=$E$3</formula>
    </cfRule>
    <cfRule type="expression" dxfId="11387" priority="969">
      <formula>$C5&lt;$E$3</formula>
    </cfRule>
    <cfRule type="cellIs" dxfId="11386" priority="970" operator="equal">
      <formula>0</formula>
    </cfRule>
    <cfRule type="expression" dxfId="11385" priority="971">
      <formula>$C5&gt;$E$3</formula>
    </cfRule>
  </conditionalFormatting>
  <conditionalFormatting sqref="K5:K9">
    <cfRule type="expression" dxfId="11384" priority="967">
      <formula>$E5=""</formula>
    </cfRule>
  </conditionalFormatting>
  <conditionalFormatting sqref="K5:K9">
    <cfRule type="expression" dxfId="11383" priority="966">
      <formula>$C5&lt;$E$3</formula>
    </cfRule>
  </conditionalFormatting>
  <conditionalFormatting sqref="K5:K9">
    <cfRule type="expression" dxfId="11382" priority="965">
      <formula>$E5=""</formula>
    </cfRule>
  </conditionalFormatting>
  <conditionalFormatting sqref="K5:K9">
    <cfRule type="expression" dxfId="11381" priority="964">
      <formula>$E5=""</formula>
    </cfRule>
  </conditionalFormatting>
  <conditionalFormatting sqref="K5:K9">
    <cfRule type="expression" dxfId="11380" priority="963">
      <formula>$C5&lt;$E$3</formula>
    </cfRule>
  </conditionalFormatting>
  <conditionalFormatting sqref="K5:K9">
    <cfRule type="expression" dxfId="11379" priority="962">
      <formula>$E5=""</formula>
    </cfRule>
  </conditionalFormatting>
  <conditionalFormatting sqref="K5:K9">
    <cfRule type="expression" dxfId="11378" priority="961">
      <formula>$C5&lt;$E$3</formula>
    </cfRule>
  </conditionalFormatting>
  <conditionalFormatting sqref="K5:K9">
    <cfRule type="expression" dxfId="11377" priority="960">
      <formula>$E5=""</formula>
    </cfRule>
  </conditionalFormatting>
  <conditionalFormatting sqref="K5:K9">
    <cfRule type="expression" dxfId="11376" priority="959">
      <formula>$C5&lt;$E$3</formula>
    </cfRule>
  </conditionalFormatting>
  <conditionalFormatting sqref="K5:K9">
    <cfRule type="expression" dxfId="11375" priority="958">
      <formula>$E5=""</formula>
    </cfRule>
  </conditionalFormatting>
  <conditionalFormatting sqref="H23:H29 H32 H14:H20 H11">
    <cfRule type="cellIs" dxfId="11374" priority="957" stopIfTrue="1" operator="lessThan">
      <formula>0</formula>
    </cfRule>
  </conditionalFormatting>
  <conditionalFormatting sqref="H12">
    <cfRule type="expression" dxfId="11373" priority="956">
      <formula>$F12&gt;=$F13</formula>
    </cfRule>
  </conditionalFormatting>
  <conditionalFormatting sqref="H21">
    <cfRule type="expression" dxfId="11372" priority="955">
      <formula>$F21&gt;=$F22</formula>
    </cfRule>
  </conditionalFormatting>
  <conditionalFormatting sqref="H30">
    <cfRule type="expression" dxfId="11371" priority="954">
      <formula>$F30&gt;=$F31</formula>
    </cfRule>
  </conditionalFormatting>
  <conditionalFormatting sqref="H12">
    <cfRule type="expression" dxfId="11370" priority="953">
      <formula>$F12&gt;=$F13</formula>
    </cfRule>
  </conditionalFormatting>
  <conditionalFormatting sqref="H21">
    <cfRule type="expression" dxfId="11369" priority="952">
      <formula>$F21&gt;=$F22</formula>
    </cfRule>
  </conditionalFormatting>
  <conditionalFormatting sqref="H30">
    <cfRule type="expression" dxfId="11368" priority="951">
      <formula>$F30&gt;=$F31</formula>
    </cfRule>
  </conditionalFormatting>
  <conditionalFormatting sqref="H11">
    <cfRule type="expression" dxfId="11367" priority="949">
      <formula>$C11&lt;$E$3</formula>
    </cfRule>
  </conditionalFormatting>
  <conditionalFormatting sqref="H11">
    <cfRule type="expression" dxfId="11366" priority="946">
      <formula>$C11=$E$3</formula>
    </cfRule>
    <cfRule type="expression" dxfId="11365" priority="947">
      <formula>$C11&lt;$E$3</formula>
    </cfRule>
    <cfRule type="cellIs" dxfId="11364" priority="948" operator="equal">
      <formula>0</formula>
    </cfRule>
    <cfRule type="expression" dxfId="11363" priority="950">
      <formula>$C11&gt;$E$3</formula>
    </cfRule>
  </conditionalFormatting>
  <conditionalFormatting sqref="H11">
    <cfRule type="expression" dxfId="11362" priority="945">
      <formula>$C11&lt;$E$3</formula>
    </cfRule>
  </conditionalFormatting>
  <conditionalFormatting sqref="H11">
    <cfRule type="expression" dxfId="11361" priority="941">
      <formula>$C11=$E$3</formula>
    </cfRule>
    <cfRule type="expression" dxfId="11360" priority="942">
      <formula>$C11&lt;$E$3</formula>
    </cfRule>
    <cfRule type="cellIs" dxfId="11359" priority="943" operator="equal">
      <formula>0</formula>
    </cfRule>
    <cfRule type="expression" dxfId="11358" priority="944">
      <formula>$C11&gt;$E$3</formula>
    </cfRule>
  </conditionalFormatting>
  <conditionalFormatting sqref="H11">
    <cfRule type="expression" dxfId="11357" priority="940">
      <formula>$C11&lt;$E$3</formula>
    </cfRule>
  </conditionalFormatting>
  <conditionalFormatting sqref="H11">
    <cfRule type="expression" dxfId="11356" priority="936">
      <formula>$C11=$E$3</formula>
    </cfRule>
    <cfRule type="expression" dxfId="11355" priority="937">
      <formula>$C11&lt;$E$3</formula>
    </cfRule>
    <cfRule type="cellIs" dxfId="11354" priority="938" operator="equal">
      <formula>0</formula>
    </cfRule>
    <cfRule type="expression" dxfId="11353" priority="939">
      <formula>$C11&gt;$E$3</formula>
    </cfRule>
  </conditionalFormatting>
  <conditionalFormatting sqref="H11">
    <cfRule type="expression" dxfId="11352" priority="935">
      <formula>$C11&lt;$E$3</formula>
    </cfRule>
  </conditionalFormatting>
  <conditionalFormatting sqref="H11">
    <cfRule type="expression" dxfId="11351" priority="931">
      <formula>$C11=$E$3</formula>
    </cfRule>
    <cfRule type="expression" dxfId="11350" priority="932">
      <formula>$C11&lt;$E$3</formula>
    </cfRule>
    <cfRule type="cellIs" dxfId="11349" priority="933" operator="equal">
      <formula>0</formula>
    </cfRule>
    <cfRule type="expression" dxfId="11348" priority="934">
      <formula>$C11&gt;$E$3</formula>
    </cfRule>
  </conditionalFormatting>
  <conditionalFormatting sqref="H11">
    <cfRule type="expression" dxfId="11347" priority="930">
      <formula>$E11=""</formula>
    </cfRule>
  </conditionalFormatting>
  <conditionalFormatting sqref="H11">
    <cfRule type="expression" dxfId="11346" priority="929">
      <formula>$C11&lt;$E$3</formula>
    </cfRule>
  </conditionalFormatting>
  <conditionalFormatting sqref="H11">
    <cfRule type="expression" dxfId="11345" priority="928">
      <formula>$E11=""</formula>
    </cfRule>
  </conditionalFormatting>
  <conditionalFormatting sqref="H11">
    <cfRule type="expression" dxfId="11344" priority="927">
      <formula>$E11=""</formula>
    </cfRule>
  </conditionalFormatting>
  <conditionalFormatting sqref="H11">
    <cfRule type="expression" dxfId="11343" priority="926">
      <formula>$C11&lt;$E$3</formula>
    </cfRule>
  </conditionalFormatting>
  <conditionalFormatting sqref="H11">
    <cfRule type="expression" dxfId="11342" priority="925">
      <formula>$E11=""</formula>
    </cfRule>
  </conditionalFormatting>
  <conditionalFormatting sqref="H11">
    <cfRule type="expression" dxfId="11341" priority="924">
      <formula>$C11&lt;$E$3</formula>
    </cfRule>
  </conditionalFormatting>
  <conditionalFormatting sqref="H11">
    <cfRule type="expression" dxfId="11340" priority="923">
      <formula>$E11=""</formula>
    </cfRule>
  </conditionalFormatting>
  <conditionalFormatting sqref="H11">
    <cfRule type="expression" dxfId="11339" priority="922">
      <formula>$C11&lt;$E$3</formula>
    </cfRule>
  </conditionalFormatting>
  <conditionalFormatting sqref="H11">
    <cfRule type="expression" dxfId="11338" priority="921">
      <formula>$E11=""</formula>
    </cfRule>
  </conditionalFormatting>
  <conditionalFormatting sqref="H14:H20">
    <cfRule type="expression" dxfId="11337" priority="919">
      <formula>$C14&lt;$E$3</formula>
    </cfRule>
  </conditionalFormatting>
  <conditionalFormatting sqref="H14:H20">
    <cfRule type="expression" dxfId="11336" priority="916">
      <formula>$C14=$E$3</formula>
    </cfRule>
    <cfRule type="expression" dxfId="11335" priority="917">
      <formula>$C14&lt;$E$3</formula>
    </cfRule>
    <cfRule type="cellIs" dxfId="11334" priority="918" operator="equal">
      <formula>0</formula>
    </cfRule>
    <cfRule type="expression" dxfId="11333" priority="920">
      <formula>$C14&gt;$E$3</formula>
    </cfRule>
  </conditionalFormatting>
  <conditionalFormatting sqref="H14:H20">
    <cfRule type="expression" dxfId="11332" priority="915">
      <formula>$C14&lt;$E$3</formula>
    </cfRule>
  </conditionalFormatting>
  <conditionalFormatting sqref="H14:H20">
    <cfRule type="expression" dxfId="11331" priority="911">
      <formula>$C14=$E$3</formula>
    </cfRule>
    <cfRule type="expression" dxfId="11330" priority="912">
      <formula>$C14&lt;$E$3</formula>
    </cfRule>
    <cfRule type="cellIs" dxfId="11329" priority="913" operator="equal">
      <formula>0</formula>
    </cfRule>
    <cfRule type="expression" dxfId="11328" priority="914">
      <formula>$C14&gt;$E$3</formula>
    </cfRule>
  </conditionalFormatting>
  <conditionalFormatting sqref="H14:H20">
    <cfRule type="expression" dxfId="11327" priority="910">
      <formula>$C14&lt;$E$3</formula>
    </cfRule>
  </conditionalFormatting>
  <conditionalFormatting sqref="H14:H20">
    <cfRule type="expression" dxfId="11326" priority="906">
      <formula>$C14=$E$3</formula>
    </cfRule>
    <cfRule type="expression" dxfId="11325" priority="907">
      <formula>$C14&lt;$E$3</formula>
    </cfRule>
    <cfRule type="cellIs" dxfId="11324" priority="908" operator="equal">
      <formula>0</formula>
    </cfRule>
    <cfRule type="expression" dxfId="11323" priority="909">
      <formula>$C14&gt;$E$3</formula>
    </cfRule>
  </conditionalFormatting>
  <conditionalFormatting sqref="H14:H20">
    <cfRule type="expression" dxfId="11322" priority="905">
      <formula>$C14&lt;$E$3</formula>
    </cfRule>
  </conditionalFormatting>
  <conditionalFormatting sqref="H14:H20">
    <cfRule type="expression" dxfId="11321" priority="901">
      <formula>$C14=$E$3</formula>
    </cfRule>
    <cfRule type="expression" dxfId="11320" priority="902">
      <formula>$C14&lt;$E$3</formula>
    </cfRule>
    <cfRule type="cellIs" dxfId="11319" priority="903" operator="equal">
      <formula>0</formula>
    </cfRule>
    <cfRule type="expression" dxfId="11318" priority="904">
      <formula>$C14&gt;$E$3</formula>
    </cfRule>
  </conditionalFormatting>
  <conditionalFormatting sqref="H14:H20">
    <cfRule type="expression" dxfId="11317" priority="900">
      <formula>$E14=""</formula>
    </cfRule>
  </conditionalFormatting>
  <conditionalFormatting sqref="H14:H20">
    <cfRule type="expression" dxfId="11316" priority="899">
      <formula>$C14&lt;$E$3</formula>
    </cfRule>
  </conditionalFormatting>
  <conditionalFormatting sqref="H14:H20">
    <cfRule type="expression" dxfId="11315" priority="898">
      <formula>$E14=""</formula>
    </cfRule>
  </conditionalFormatting>
  <conditionalFormatting sqref="H14:H20">
    <cfRule type="expression" dxfId="11314" priority="897">
      <formula>$E14=""</formula>
    </cfRule>
  </conditionalFormatting>
  <conditionalFormatting sqref="H14:H20">
    <cfRule type="expression" dxfId="11313" priority="896">
      <formula>$C14&lt;$E$3</formula>
    </cfRule>
  </conditionalFormatting>
  <conditionalFormatting sqref="H14:H20">
    <cfRule type="expression" dxfId="11312" priority="895">
      <formula>$E14=""</formula>
    </cfRule>
  </conditionalFormatting>
  <conditionalFormatting sqref="H14:H20">
    <cfRule type="expression" dxfId="11311" priority="894">
      <formula>$C14&lt;$E$3</formula>
    </cfRule>
  </conditionalFormatting>
  <conditionalFormatting sqref="H14:H20">
    <cfRule type="expression" dxfId="11310" priority="893">
      <formula>$E14=""</formula>
    </cfRule>
  </conditionalFormatting>
  <conditionalFormatting sqref="H14:H20">
    <cfRule type="expression" dxfId="11309" priority="892">
      <formula>$C14&lt;$E$3</formula>
    </cfRule>
  </conditionalFormatting>
  <conditionalFormatting sqref="H14:H20">
    <cfRule type="expression" dxfId="11308" priority="891">
      <formula>$E14=""</formula>
    </cfRule>
  </conditionalFormatting>
  <conditionalFormatting sqref="H23:H29">
    <cfRule type="expression" dxfId="11307" priority="889">
      <formula>$C23&lt;$E$3</formula>
    </cfRule>
  </conditionalFormatting>
  <conditionalFormatting sqref="H23:H29">
    <cfRule type="expression" dxfId="11306" priority="886">
      <formula>$C23=$E$3</formula>
    </cfRule>
    <cfRule type="expression" dxfId="11305" priority="887">
      <formula>$C23&lt;$E$3</formula>
    </cfRule>
    <cfRule type="cellIs" dxfId="11304" priority="888" operator="equal">
      <formula>0</formula>
    </cfRule>
    <cfRule type="expression" dxfId="11303" priority="890">
      <formula>$C23&gt;$E$3</formula>
    </cfRule>
  </conditionalFormatting>
  <conditionalFormatting sqref="H23:H29">
    <cfRule type="expression" dxfId="11302" priority="885">
      <formula>$C23&lt;$E$3</formula>
    </cfRule>
  </conditionalFormatting>
  <conditionalFormatting sqref="H23:H29">
    <cfRule type="expression" dxfId="11301" priority="881">
      <formula>$C23=$E$3</formula>
    </cfRule>
    <cfRule type="expression" dxfId="11300" priority="882">
      <formula>$C23&lt;$E$3</formula>
    </cfRule>
    <cfRule type="cellIs" dxfId="11299" priority="883" operator="equal">
      <formula>0</formula>
    </cfRule>
    <cfRule type="expression" dxfId="11298" priority="884">
      <formula>$C23&gt;$E$3</formula>
    </cfRule>
  </conditionalFormatting>
  <conditionalFormatting sqref="H23:H29">
    <cfRule type="expression" dxfId="11297" priority="880">
      <formula>$C23&lt;$E$3</formula>
    </cfRule>
  </conditionalFormatting>
  <conditionalFormatting sqref="H23:H29">
    <cfRule type="expression" dxfId="11296" priority="876">
      <formula>$C23=$E$3</formula>
    </cfRule>
    <cfRule type="expression" dxfId="11295" priority="877">
      <formula>$C23&lt;$E$3</formula>
    </cfRule>
    <cfRule type="cellIs" dxfId="11294" priority="878" operator="equal">
      <formula>0</formula>
    </cfRule>
    <cfRule type="expression" dxfId="11293" priority="879">
      <formula>$C23&gt;$E$3</formula>
    </cfRule>
  </conditionalFormatting>
  <conditionalFormatting sqref="H23:H29">
    <cfRule type="expression" dxfId="11292" priority="875">
      <formula>$C23&lt;$E$3</formula>
    </cfRule>
  </conditionalFormatting>
  <conditionalFormatting sqref="H23:H29">
    <cfRule type="expression" dxfId="11291" priority="871">
      <formula>$C23=$E$3</formula>
    </cfRule>
    <cfRule type="expression" dxfId="11290" priority="872">
      <formula>$C23&lt;$E$3</formula>
    </cfRule>
    <cfRule type="cellIs" dxfId="11289" priority="873" operator="equal">
      <formula>0</formula>
    </cfRule>
    <cfRule type="expression" dxfId="11288" priority="874">
      <formula>$C23&gt;$E$3</formula>
    </cfRule>
  </conditionalFormatting>
  <conditionalFormatting sqref="H23:H29">
    <cfRule type="expression" dxfId="11287" priority="870">
      <formula>$E23=""</formula>
    </cfRule>
  </conditionalFormatting>
  <conditionalFormatting sqref="H23:H29">
    <cfRule type="expression" dxfId="11286" priority="869">
      <formula>$C23&lt;$E$3</formula>
    </cfRule>
  </conditionalFormatting>
  <conditionalFormatting sqref="H23:H29">
    <cfRule type="expression" dxfId="11285" priority="868">
      <formula>$E23=""</formula>
    </cfRule>
  </conditionalFormatting>
  <conditionalFormatting sqref="H23:H29">
    <cfRule type="expression" dxfId="11284" priority="867">
      <formula>$E23=""</formula>
    </cfRule>
  </conditionalFormatting>
  <conditionalFormatting sqref="H23:H29">
    <cfRule type="expression" dxfId="11283" priority="866">
      <formula>$C23&lt;$E$3</formula>
    </cfRule>
  </conditionalFormatting>
  <conditionalFormatting sqref="H23:H29">
    <cfRule type="expression" dxfId="11282" priority="865">
      <formula>$E23=""</formula>
    </cfRule>
  </conditionalFormatting>
  <conditionalFormatting sqref="H23:H29">
    <cfRule type="expression" dxfId="11281" priority="864">
      <formula>$C23&lt;$E$3</formula>
    </cfRule>
  </conditionalFormatting>
  <conditionalFormatting sqref="H23:H29">
    <cfRule type="expression" dxfId="11280" priority="863">
      <formula>$E23=""</formula>
    </cfRule>
  </conditionalFormatting>
  <conditionalFormatting sqref="H23:H29">
    <cfRule type="expression" dxfId="11279" priority="862">
      <formula>$C23&lt;$E$3</formula>
    </cfRule>
  </conditionalFormatting>
  <conditionalFormatting sqref="H23:H29">
    <cfRule type="expression" dxfId="11278" priority="861">
      <formula>$E23=""</formula>
    </cfRule>
  </conditionalFormatting>
  <conditionalFormatting sqref="H32">
    <cfRule type="expression" dxfId="11277" priority="859">
      <formula>$C32&lt;$E$3</formula>
    </cfRule>
  </conditionalFormatting>
  <conditionalFormatting sqref="H32">
    <cfRule type="expression" dxfId="11276" priority="856">
      <formula>$C32=$E$3</formula>
    </cfRule>
    <cfRule type="expression" dxfId="11275" priority="857">
      <formula>$C32&lt;$E$3</formula>
    </cfRule>
    <cfRule type="cellIs" dxfId="11274" priority="858" operator="equal">
      <formula>0</formula>
    </cfRule>
    <cfRule type="expression" dxfId="11273" priority="860">
      <formula>$C32&gt;$E$3</formula>
    </cfRule>
  </conditionalFormatting>
  <conditionalFormatting sqref="H32">
    <cfRule type="expression" dxfId="11272" priority="855">
      <formula>$C32&lt;$E$3</formula>
    </cfRule>
  </conditionalFormatting>
  <conditionalFormatting sqref="H32">
    <cfRule type="expression" dxfId="11271" priority="851">
      <formula>$C32=$E$3</formula>
    </cfRule>
    <cfRule type="expression" dxfId="11270" priority="852">
      <formula>$C32&lt;$E$3</formula>
    </cfRule>
    <cfRule type="cellIs" dxfId="11269" priority="853" operator="equal">
      <formula>0</formula>
    </cfRule>
    <cfRule type="expression" dxfId="11268" priority="854">
      <formula>$C32&gt;$E$3</formula>
    </cfRule>
  </conditionalFormatting>
  <conditionalFormatting sqref="H32">
    <cfRule type="expression" dxfId="11267" priority="850">
      <formula>$C32&lt;$E$3</formula>
    </cfRule>
  </conditionalFormatting>
  <conditionalFormatting sqref="H32">
    <cfRule type="expression" dxfId="11266" priority="846">
      <formula>$C32=$E$3</formula>
    </cfRule>
    <cfRule type="expression" dxfId="11265" priority="847">
      <formula>$C32&lt;$E$3</formula>
    </cfRule>
    <cfRule type="cellIs" dxfId="11264" priority="848" operator="equal">
      <formula>0</formula>
    </cfRule>
    <cfRule type="expression" dxfId="11263" priority="849">
      <formula>$C32&gt;$E$3</formula>
    </cfRule>
  </conditionalFormatting>
  <conditionalFormatting sqref="H32">
    <cfRule type="expression" dxfId="11262" priority="845">
      <formula>$C32&lt;$E$3</formula>
    </cfRule>
  </conditionalFormatting>
  <conditionalFormatting sqref="H32">
    <cfRule type="expression" dxfId="11261" priority="841">
      <formula>$C32=$E$3</formula>
    </cfRule>
    <cfRule type="expression" dxfId="11260" priority="842">
      <formula>$C32&lt;$E$3</formula>
    </cfRule>
    <cfRule type="cellIs" dxfId="11259" priority="843" operator="equal">
      <formula>0</formula>
    </cfRule>
    <cfRule type="expression" dxfId="11258" priority="844">
      <formula>$C32&gt;$E$3</formula>
    </cfRule>
  </conditionalFormatting>
  <conditionalFormatting sqref="H32">
    <cfRule type="expression" dxfId="11257" priority="840">
      <formula>$E32=""</formula>
    </cfRule>
  </conditionalFormatting>
  <conditionalFormatting sqref="H32">
    <cfRule type="expression" dxfId="11256" priority="839">
      <formula>$C32&lt;$E$3</formula>
    </cfRule>
  </conditionalFormatting>
  <conditionalFormatting sqref="H32">
    <cfRule type="expression" dxfId="11255" priority="838">
      <formula>$E32=""</formula>
    </cfRule>
  </conditionalFormatting>
  <conditionalFormatting sqref="H32">
    <cfRule type="expression" dxfId="11254" priority="837">
      <formula>$E32=""</formula>
    </cfRule>
  </conditionalFormatting>
  <conditionalFormatting sqref="H32">
    <cfRule type="expression" dxfId="11253" priority="836">
      <formula>$C32&lt;$E$3</formula>
    </cfRule>
  </conditionalFormatting>
  <conditionalFormatting sqref="H32">
    <cfRule type="expression" dxfId="11252" priority="835">
      <formula>$E32=""</formula>
    </cfRule>
  </conditionalFormatting>
  <conditionalFormatting sqref="H32">
    <cfRule type="expression" dxfId="11251" priority="834">
      <formula>$C32&lt;$E$3</formula>
    </cfRule>
  </conditionalFormatting>
  <conditionalFormatting sqref="H32">
    <cfRule type="expression" dxfId="11250" priority="833">
      <formula>$E32=""</formula>
    </cfRule>
  </conditionalFormatting>
  <conditionalFormatting sqref="H32">
    <cfRule type="expression" dxfId="11249" priority="832">
      <formula>$C32&lt;$E$3</formula>
    </cfRule>
  </conditionalFormatting>
  <conditionalFormatting sqref="H32">
    <cfRule type="expression" dxfId="11248" priority="831">
      <formula>$E32=""</formula>
    </cfRule>
  </conditionalFormatting>
  <conditionalFormatting sqref="V50:W51 V5:W20 V23:W29 V32:W38 V41:W47">
    <cfRule type="cellIs" dxfId="11247" priority="830" stopIfTrue="1" operator="lessThan">
      <formula>0</formula>
    </cfRule>
  </conditionalFormatting>
  <conditionalFormatting sqref="F52:H52">
    <cfRule type="expression" dxfId="11246" priority="1328" stopIfTrue="1">
      <formula>$H$52=-1E-55</formula>
    </cfRule>
    <cfRule type="expression" dxfId="11245" priority="1329">
      <formula>$F52&gt;=$F53</formula>
    </cfRule>
  </conditionalFormatting>
  <conditionalFormatting sqref="K48:K49">
    <cfRule type="cellIs" dxfId="11244" priority="829" stopIfTrue="1" operator="lessThan">
      <formula>0</formula>
    </cfRule>
  </conditionalFormatting>
  <conditionalFormatting sqref="K48:K49">
    <cfRule type="expression" dxfId="11243" priority="828">
      <formula>$C68&lt;$E$3</formula>
    </cfRule>
  </conditionalFormatting>
  <conditionalFormatting sqref="K48:K49">
    <cfRule type="expression" dxfId="11242" priority="824">
      <formula>$C68=$E$3</formula>
    </cfRule>
    <cfRule type="expression" dxfId="11241" priority="825">
      <formula>$C68&lt;$E$3</formula>
    </cfRule>
    <cfRule type="cellIs" dxfId="11240" priority="826" operator="equal">
      <formula>0</formula>
    </cfRule>
    <cfRule type="expression" dxfId="11239" priority="827">
      <formula>$C68&gt;$E$3</formula>
    </cfRule>
  </conditionalFormatting>
  <conditionalFormatting sqref="K48:K49">
    <cfRule type="expression" dxfId="11238" priority="823">
      <formula>$C68&lt;$E$3</formula>
    </cfRule>
  </conditionalFormatting>
  <conditionalFormatting sqref="K48:K49">
    <cfRule type="expression" dxfId="11237" priority="819">
      <formula>$C68=$E$3</formula>
    </cfRule>
    <cfRule type="expression" dxfId="11236" priority="820">
      <formula>$C68&lt;$E$3</formula>
    </cfRule>
    <cfRule type="cellIs" dxfId="11235" priority="821" operator="equal">
      <formula>0</formula>
    </cfRule>
    <cfRule type="expression" dxfId="11234" priority="822">
      <formula>$C68&gt;$E$3</formula>
    </cfRule>
  </conditionalFormatting>
  <conditionalFormatting sqref="K48:K49">
    <cfRule type="expression" dxfId="11233" priority="818">
      <formula>$C68&lt;$E$3</formula>
    </cfRule>
  </conditionalFormatting>
  <conditionalFormatting sqref="K48:K49">
    <cfRule type="expression" dxfId="11232" priority="814">
      <formula>$C68=$E$3</formula>
    </cfRule>
    <cfRule type="expression" dxfId="11231" priority="815">
      <formula>$C68&lt;$E$3</formula>
    </cfRule>
    <cfRule type="cellIs" dxfId="11230" priority="816" operator="equal">
      <formula>0</formula>
    </cfRule>
    <cfRule type="expression" dxfId="11229" priority="817">
      <formula>$C68&gt;$E$3</formula>
    </cfRule>
  </conditionalFormatting>
  <conditionalFormatting sqref="K48:K49">
    <cfRule type="expression" dxfId="11228" priority="813">
      <formula>$C68&lt;$E$3</formula>
    </cfRule>
  </conditionalFormatting>
  <conditionalFormatting sqref="K48:K49">
    <cfRule type="expression" dxfId="11227" priority="809">
      <formula>$C68=$E$3</formula>
    </cfRule>
    <cfRule type="expression" dxfId="11226" priority="810">
      <formula>$C68&lt;$E$3</formula>
    </cfRule>
    <cfRule type="cellIs" dxfId="11225" priority="811" operator="equal">
      <formula>0</formula>
    </cfRule>
    <cfRule type="expression" dxfId="11224" priority="812">
      <formula>$C68&gt;$E$3</formula>
    </cfRule>
  </conditionalFormatting>
  <conditionalFormatting sqref="K48:K49">
    <cfRule type="expression" dxfId="11223" priority="808">
      <formula>$E68=""</formula>
    </cfRule>
  </conditionalFormatting>
  <conditionalFormatting sqref="K48:K49">
    <cfRule type="expression" dxfId="11222" priority="807">
      <formula>$C68&lt;$E$3</formula>
    </cfRule>
  </conditionalFormatting>
  <conditionalFormatting sqref="K48:K49">
    <cfRule type="expression" dxfId="11221" priority="806">
      <formula>$E68=""</formula>
    </cfRule>
  </conditionalFormatting>
  <conditionalFormatting sqref="K48:K49">
    <cfRule type="expression" dxfId="11220" priority="805">
      <formula>$E68=""</formula>
    </cfRule>
  </conditionalFormatting>
  <conditionalFormatting sqref="K48:K49">
    <cfRule type="expression" dxfId="11219" priority="804">
      <formula>$C68&lt;$E$3</formula>
    </cfRule>
  </conditionalFormatting>
  <conditionalFormatting sqref="K48:K49">
    <cfRule type="expression" dxfId="11218" priority="803">
      <formula>$E68=""</formula>
    </cfRule>
  </conditionalFormatting>
  <conditionalFormatting sqref="K48:K49">
    <cfRule type="expression" dxfId="11217" priority="802">
      <formula>$C68&lt;$E$3</formula>
    </cfRule>
  </conditionalFormatting>
  <conditionalFormatting sqref="K48:K49">
    <cfRule type="expression" dxfId="11216" priority="801">
      <formula>$E68=""</formula>
    </cfRule>
  </conditionalFormatting>
  <conditionalFormatting sqref="K48:K49">
    <cfRule type="expression" dxfId="11215" priority="800">
      <formula>$C68&lt;$E$3</formula>
    </cfRule>
  </conditionalFormatting>
  <conditionalFormatting sqref="K48:K49">
    <cfRule type="expression" dxfId="11214" priority="799">
      <formula>$E68=""</formula>
    </cfRule>
  </conditionalFormatting>
  <conditionalFormatting sqref="K48:K49">
    <cfRule type="expression" dxfId="11213" priority="798">
      <formula>$C68&lt;$E$3</formula>
    </cfRule>
  </conditionalFormatting>
  <conditionalFormatting sqref="K48:K49">
    <cfRule type="expression" dxfId="11212" priority="794">
      <formula>$C68=$E$3</formula>
    </cfRule>
    <cfRule type="expression" dxfId="11211" priority="795">
      <formula>$C68&lt;$E$3</formula>
    </cfRule>
    <cfRule type="cellIs" dxfId="11210" priority="796" operator="equal">
      <formula>0</formula>
    </cfRule>
    <cfRule type="expression" dxfId="11209" priority="797">
      <formula>$C68&gt;$E$3</formula>
    </cfRule>
  </conditionalFormatting>
  <conditionalFormatting sqref="K48:K49">
    <cfRule type="expression" dxfId="11208" priority="793">
      <formula>$C68&lt;$E$3</formula>
    </cfRule>
  </conditionalFormatting>
  <conditionalFormatting sqref="K48:K49">
    <cfRule type="expression" dxfId="11207" priority="789">
      <formula>$C68=$E$3</formula>
    </cfRule>
    <cfRule type="expression" dxfId="11206" priority="790">
      <formula>$C68&lt;$E$3</formula>
    </cfRule>
    <cfRule type="cellIs" dxfId="11205" priority="791" operator="equal">
      <formula>0</formula>
    </cfRule>
    <cfRule type="expression" dxfId="11204" priority="792">
      <formula>$C68&gt;$E$3</formula>
    </cfRule>
  </conditionalFormatting>
  <conditionalFormatting sqref="K48:K49">
    <cfRule type="expression" dxfId="11203" priority="788">
      <formula>$C68&lt;$E$3</formula>
    </cfRule>
  </conditionalFormatting>
  <conditionalFormatting sqref="K48:K49">
    <cfRule type="expression" dxfId="11202" priority="784">
      <formula>$C68=$E$3</formula>
    </cfRule>
    <cfRule type="expression" dxfId="11201" priority="785">
      <formula>$C68&lt;$E$3</formula>
    </cfRule>
    <cfRule type="cellIs" dxfId="11200" priority="786" operator="equal">
      <formula>0</formula>
    </cfRule>
    <cfRule type="expression" dxfId="11199" priority="787">
      <formula>$C68&gt;$E$3</formula>
    </cfRule>
  </conditionalFormatting>
  <conditionalFormatting sqref="K48:K49">
    <cfRule type="expression" dxfId="11198" priority="783">
      <formula>$C68&lt;$E$3</formula>
    </cfRule>
  </conditionalFormatting>
  <conditionalFormatting sqref="K48:K49">
    <cfRule type="expression" dxfId="11197" priority="779">
      <formula>$C68=$E$3</formula>
    </cfRule>
    <cfRule type="expression" dxfId="11196" priority="780">
      <formula>$C68&lt;$E$3</formula>
    </cfRule>
    <cfRule type="cellIs" dxfId="11195" priority="781" operator="equal">
      <formula>0</formula>
    </cfRule>
    <cfRule type="expression" dxfId="11194" priority="782">
      <formula>$C68&gt;$E$3</formula>
    </cfRule>
  </conditionalFormatting>
  <conditionalFormatting sqref="K48:K49">
    <cfRule type="expression" dxfId="11193" priority="778">
      <formula>$E68=""</formula>
    </cfRule>
  </conditionalFormatting>
  <conditionalFormatting sqref="K48:K49">
    <cfRule type="expression" dxfId="11192" priority="777">
      <formula>$C68&lt;$E$3</formula>
    </cfRule>
  </conditionalFormatting>
  <conditionalFormatting sqref="K48:K49">
    <cfRule type="expression" dxfId="11191" priority="776">
      <formula>$E68=""</formula>
    </cfRule>
  </conditionalFormatting>
  <conditionalFormatting sqref="K48:K49">
    <cfRule type="expression" dxfId="11190" priority="775">
      <formula>$E68=""</formula>
    </cfRule>
  </conditionalFormatting>
  <conditionalFormatting sqref="K48:K49">
    <cfRule type="expression" dxfId="11189" priority="774">
      <formula>$C68&lt;$E$3</formula>
    </cfRule>
  </conditionalFormatting>
  <conditionalFormatting sqref="K48:K49">
    <cfRule type="expression" dxfId="11188" priority="773">
      <formula>$E68=""</formula>
    </cfRule>
  </conditionalFormatting>
  <conditionalFormatting sqref="K48:K49">
    <cfRule type="expression" dxfId="11187" priority="772">
      <formula>$C68&lt;$E$3</formula>
    </cfRule>
  </conditionalFormatting>
  <conditionalFormatting sqref="K48:K49">
    <cfRule type="expression" dxfId="11186" priority="771">
      <formula>$E68=""</formula>
    </cfRule>
  </conditionalFormatting>
  <conditionalFormatting sqref="K48:K49">
    <cfRule type="expression" dxfId="11185" priority="770">
      <formula>$C68&lt;$E$3</formula>
    </cfRule>
  </conditionalFormatting>
  <conditionalFormatting sqref="K48:K49">
    <cfRule type="expression" dxfId="11184" priority="769">
      <formula>$E68=""</formula>
    </cfRule>
  </conditionalFormatting>
  <conditionalFormatting sqref="K5:K11">
    <cfRule type="expression" dxfId="11183" priority="767">
      <formula>$C5&lt;$E$3</formula>
    </cfRule>
  </conditionalFormatting>
  <conditionalFormatting sqref="K5:K11">
    <cfRule type="expression" dxfId="11182" priority="764">
      <formula>$C5=$E$3</formula>
    </cfRule>
    <cfRule type="expression" dxfId="11181" priority="765">
      <formula>$C5&lt;$E$3</formula>
    </cfRule>
    <cfRule type="cellIs" dxfId="11180" priority="766" operator="equal">
      <formula>0</formula>
    </cfRule>
    <cfRule type="expression" dxfId="11179" priority="768">
      <formula>$C5&gt;$E$3</formula>
    </cfRule>
  </conditionalFormatting>
  <conditionalFormatting sqref="K5:K11">
    <cfRule type="expression" dxfId="11178" priority="763">
      <formula>$E5=""</formula>
    </cfRule>
  </conditionalFormatting>
  <conditionalFormatting sqref="K5:K11">
    <cfRule type="expression" dxfId="11177" priority="762">
      <formula>$E5=""</formula>
    </cfRule>
  </conditionalFormatting>
  <conditionalFormatting sqref="K5:K11">
    <cfRule type="expression" dxfId="11176" priority="761">
      <formula>$E5=""</formula>
    </cfRule>
  </conditionalFormatting>
  <conditionalFormatting sqref="K41:K47">
    <cfRule type="cellIs" dxfId="11175" priority="760" stopIfTrue="1" operator="lessThan">
      <formula>0</formula>
    </cfRule>
  </conditionalFormatting>
  <conditionalFormatting sqref="K41:K47">
    <cfRule type="cellIs" dxfId="11174" priority="759" stopIfTrue="1" operator="lessThan">
      <formula>0</formula>
    </cfRule>
  </conditionalFormatting>
  <conditionalFormatting sqref="K41:K47">
    <cfRule type="cellIs" dxfId="11173" priority="758" stopIfTrue="1" operator="lessThan">
      <formula>0</formula>
    </cfRule>
  </conditionalFormatting>
  <conditionalFormatting sqref="K50:K51">
    <cfRule type="expression" dxfId="11172" priority="756">
      <formula>$C50&lt;$E$3</formula>
    </cfRule>
  </conditionalFormatting>
  <conditionalFormatting sqref="K50:K51">
    <cfRule type="expression" dxfId="11171" priority="753">
      <formula>$C50=$E$3</formula>
    </cfRule>
    <cfRule type="expression" dxfId="11170" priority="754">
      <formula>$C50&lt;$E$3</formula>
    </cfRule>
    <cfRule type="cellIs" dxfId="11169" priority="755" operator="equal">
      <formula>0</formula>
    </cfRule>
    <cfRule type="expression" dxfId="11168" priority="757">
      <formula>$C50&gt;$E$3</formula>
    </cfRule>
  </conditionalFormatting>
  <conditionalFormatting sqref="K50:K51">
    <cfRule type="expression" dxfId="11167" priority="752">
      <formula>$E50=""</formula>
    </cfRule>
  </conditionalFormatting>
  <conditionalFormatting sqref="K50:K51">
    <cfRule type="expression" dxfId="11166" priority="751">
      <formula>$E50=""</formula>
    </cfRule>
  </conditionalFormatting>
  <conditionalFormatting sqref="K50:K51">
    <cfRule type="expression" dxfId="11165" priority="750">
      <formula>$E50=""</formula>
    </cfRule>
  </conditionalFormatting>
  <conditionalFormatting sqref="H33:H37">
    <cfRule type="cellIs" dxfId="11164" priority="744" stopIfTrue="1" operator="lessThan">
      <formula>0</formula>
    </cfRule>
  </conditionalFormatting>
  <conditionalFormatting sqref="H33:H37">
    <cfRule type="expression" dxfId="11163" priority="748">
      <formula>$C33&lt;$E$3</formula>
    </cfRule>
  </conditionalFormatting>
  <conditionalFormatting sqref="H33:H37">
    <cfRule type="expression" dxfId="11162" priority="745">
      <formula>$C33=$E$3</formula>
    </cfRule>
    <cfRule type="expression" dxfId="11161" priority="746">
      <formula>$C33&lt;$E$3</formula>
    </cfRule>
    <cfRule type="cellIs" dxfId="11160" priority="747" operator="equal">
      <formula>0</formula>
    </cfRule>
    <cfRule type="expression" dxfId="11159" priority="749">
      <formula>$C33&gt;$E$3</formula>
    </cfRule>
  </conditionalFormatting>
  <conditionalFormatting sqref="H33:H37">
    <cfRule type="expression" dxfId="11158" priority="743">
      <formula>$C33&lt;$E$3</formula>
    </cfRule>
  </conditionalFormatting>
  <conditionalFormatting sqref="H33:H37">
    <cfRule type="expression" dxfId="11157" priority="739">
      <formula>$C33=$E$3</formula>
    </cfRule>
    <cfRule type="expression" dxfId="11156" priority="740">
      <formula>$C33&lt;$E$3</formula>
    </cfRule>
    <cfRule type="cellIs" dxfId="11155" priority="741" operator="equal">
      <formula>0</formula>
    </cfRule>
    <cfRule type="expression" dxfId="11154" priority="742">
      <formula>$C33&gt;$E$3</formula>
    </cfRule>
  </conditionalFormatting>
  <conditionalFormatting sqref="H33:H37">
    <cfRule type="expression" dxfId="11153" priority="738">
      <formula>$E33=""</formula>
    </cfRule>
  </conditionalFormatting>
  <conditionalFormatting sqref="H36">
    <cfRule type="expression" dxfId="11152" priority="737">
      <formula>$E36=""</formula>
    </cfRule>
  </conditionalFormatting>
  <conditionalFormatting sqref="H33:H37">
    <cfRule type="expression" dxfId="11151" priority="736">
      <formula>$C33&lt;$E$3</formula>
    </cfRule>
  </conditionalFormatting>
  <conditionalFormatting sqref="H33:H37">
    <cfRule type="expression" dxfId="11150" priority="732">
      <formula>$C33=$E$3</formula>
    </cfRule>
    <cfRule type="expression" dxfId="11149" priority="733">
      <formula>$C33&lt;$E$3</formula>
    </cfRule>
    <cfRule type="cellIs" dxfId="11148" priority="734" operator="equal">
      <formula>0</formula>
    </cfRule>
    <cfRule type="expression" dxfId="11147" priority="735">
      <formula>$C33&gt;$E$3</formula>
    </cfRule>
  </conditionalFormatting>
  <conditionalFormatting sqref="H33:H37">
    <cfRule type="expression" dxfId="11146" priority="731">
      <formula>$C33&lt;$E$3</formula>
    </cfRule>
  </conditionalFormatting>
  <conditionalFormatting sqref="H33:H37">
    <cfRule type="expression" dxfId="11145" priority="727">
      <formula>$C33=$E$3</formula>
    </cfRule>
    <cfRule type="expression" dxfId="11144" priority="728">
      <formula>$C33&lt;$E$3</formula>
    </cfRule>
    <cfRule type="cellIs" dxfId="11143" priority="729" operator="equal">
      <formula>0</formula>
    </cfRule>
    <cfRule type="expression" dxfId="11142" priority="730">
      <formula>$C33&gt;$E$3</formula>
    </cfRule>
  </conditionalFormatting>
  <conditionalFormatting sqref="H33:H37">
    <cfRule type="expression" dxfId="11141" priority="726">
      <formula>$E33=""</formula>
    </cfRule>
  </conditionalFormatting>
  <conditionalFormatting sqref="H33:H37">
    <cfRule type="expression" dxfId="11140" priority="725">
      <formula>$C33&lt;$E$3</formula>
    </cfRule>
  </conditionalFormatting>
  <conditionalFormatting sqref="H33:H37">
    <cfRule type="expression" dxfId="11139" priority="724">
      <formula>$E33=""</formula>
    </cfRule>
  </conditionalFormatting>
  <conditionalFormatting sqref="H33:H37">
    <cfRule type="expression" dxfId="11138" priority="723">
      <formula>$E33=""</formula>
    </cfRule>
  </conditionalFormatting>
  <conditionalFormatting sqref="H33:H37">
    <cfRule type="expression" dxfId="11137" priority="722">
      <formula>$C33&lt;$E$3</formula>
    </cfRule>
  </conditionalFormatting>
  <conditionalFormatting sqref="H33:H37">
    <cfRule type="expression" dxfId="11136" priority="721">
      <formula>$E33=""</formula>
    </cfRule>
  </conditionalFormatting>
  <conditionalFormatting sqref="H33:H37">
    <cfRule type="expression" dxfId="11135" priority="720">
      <formula>$C33&lt;$E$3</formula>
    </cfRule>
  </conditionalFormatting>
  <conditionalFormatting sqref="H33:H37">
    <cfRule type="expression" dxfId="11134" priority="719">
      <formula>$E33=""</formula>
    </cfRule>
  </conditionalFormatting>
  <conditionalFormatting sqref="H33:H37">
    <cfRule type="expression" dxfId="11133" priority="718">
      <formula>$C33&lt;$E$3</formula>
    </cfRule>
  </conditionalFormatting>
  <conditionalFormatting sqref="H33:H37">
    <cfRule type="expression" dxfId="11132" priority="717">
      <formula>$E33=""</formula>
    </cfRule>
  </conditionalFormatting>
  <conditionalFormatting sqref="J39:N40">
    <cfRule type="expression" dxfId="11131" priority="716">
      <formula>$L$40=0</formula>
    </cfRule>
  </conditionalFormatting>
  <conditionalFormatting sqref="K7:K10">
    <cfRule type="cellIs" dxfId="11130" priority="715" stopIfTrue="1" operator="lessThan">
      <formula>0</formula>
    </cfRule>
  </conditionalFormatting>
  <conditionalFormatting sqref="K7:K10">
    <cfRule type="expression" dxfId="11129" priority="713">
      <formula>$C7&lt;$E$3</formula>
    </cfRule>
  </conditionalFormatting>
  <conditionalFormatting sqref="K7:K10">
    <cfRule type="expression" dxfId="11128" priority="710">
      <formula>$C7=$E$3</formula>
    </cfRule>
    <cfRule type="expression" dxfId="11127" priority="711">
      <formula>$C7&lt;$E$3</formula>
    </cfRule>
    <cfRule type="cellIs" dxfId="11126" priority="712" operator="equal">
      <formula>0</formula>
    </cfRule>
    <cfRule type="expression" dxfId="11125" priority="714">
      <formula>$C7&gt;$E$3</formula>
    </cfRule>
  </conditionalFormatting>
  <conditionalFormatting sqref="K7:K10">
    <cfRule type="expression" dxfId="11124" priority="709">
      <formula>$E7=""</formula>
    </cfRule>
  </conditionalFormatting>
  <conditionalFormatting sqref="K7:K10">
    <cfRule type="expression" dxfId="11123" priority="708">
      <formula>$E7=""</formula>
    </cfRule>
  </conditionalFormatting>
  <conditionalFormatting sqref="K7:K10">
    <cfRule type="expression" dxfId="11122" priority="707">
      <formula>$E7=""</formula>
    </cfRule>
  </conditionalFormatting>
  <conditionalFormatting sqref="K7:K10">
    <cfRule type="cellIs" dxfId="11121" priority="706" stopIfTrue="1" operator="lessThan">
      <formula>0</formula>
    </cfRule>
  </conditionalFormatting>
  <conditionalFormatting sqref="K7:K10">
    <cfRule type="cellIs" dxfId="11120" priority="705" stopIfTrue="1" operator="lessThan">
      <formula>0</formula>
    </cfRule>
  </conditionalFormatting>
  <conditionalFormatting sqref="K7:K10">
    <cfRule type="cellIs" dxfId="11119" priority="704" stopIfTrue="1" operator="lessThan">
      <formula>0</formula>
    </cfRule>
  </conditionalFormatting>
  <conditionalFormatting sqref="K8:K11">
    <cfRule type="cellIs" dxfId="11118" priority="703" stopIfTrue="1" operator="lessThan">
      <formula>0</formula>
    </cfRule>
  </conditionalFormatting>
  <conditionalFormatting sqref="K8:K11">
    <cfRule type="expression" dxfId="11117" priority="701">
      <formula>$C8&lt;$E$3</formula>
    </cfRule>
  </conditionalFormatting>
  <conditionalFormatting sqref="K8:K11">
    <cfRule type="expression" dxfId="11116" priority="698">
      <formula>$C8=$E$3</formula>
    </cfRule>
    <cfRule type="expression" dxfId="11115" priority="699">
      <formula>$C8&lt;$E$3</formula>
    </cfRule>
    <cfRule type="cellIs" dxfId="11114" priority="700" operator="equal">
      <formula>0</formula>
    </cfRule>
    <cfRule type="expression" dxfId="11113" priority="702">
      <formula>$C8&gt;$E$3</formula>
    </cfRule>
  </conditionalFormatting>
  <conditionalFormatting sqref="K8:K11">
    <cfRule type="expression" dxfId="11112" priority="697">
      <formula>$E8=""</formula>
    </cfRule>
  </conditionalFormatting>
  <conditionalFormatting sqref="K8:K11">
    <cfRule type="expression" dxfId="11111" priority="696">
      <formula>$E8=""</formula>
    </cfRule>
  </conditionalFormatting>
  <conditionalFormatting sqref="K8:K11">
    <cfRule type="expression" dxfId="11110" priority="695">
      <formula>$E8=""</formula>
    </cfRule>
  </conditionalFormatting>
  <conditionalFormatting sqref="K8:K11">
    <cfRule type="cellIs" dxfId="11109" priority="694" stopIfTrue="1" operator="lessThan">
      <formula>0</formula>
    </cfRule>
  </conditionalFormatting>
  <conditionalFormatting sqref="K8:K11">
    <cfRule type="cellIs" dxfId="11108" priority="693" stopIfTrue="1" operator="lessThan">
      <formula>0</formula>
    </cfRule>
  </conditionalFormatting>
  <conditionalFormatting sqref="K8:K11">
    <cfRule type="cellIs" dxfId="11107" priority="692" stopIfTrue="1" operator="lessThan">
      <formula>0</formula>
    </cfRule>
  </conditionalFormatting>
  <conditionalFormatting sqref="K19">
    <cfRule type="expression" dxfId="11106" priority="691">
      <formula>$C19&lt;$E$3</formula>
    </cfRule>
  </conditionalFormatting>
  <conditionalFormatting sqref="K19">
    <cfRule type="expression" dxfId="11105" priority="687">
      <formula>$C19=$E$3</formula>
    </cfRule>
    <cfRule type="expression" dxfId="11104" priority="688">
      <formula>$C19&lt;$E$3</formula>
    </cfRule>
    <cfRule type="cellIs" dxfId="11103" priority="689" operator="equal">
      <formula>0</formula>
    </cfRule>
    <cfRule type="expression" dxfId="11102" priority="690">
      <formula>$C19&gt;$E$3</formula>
    </cfRule>
  </conditionalFormatting>
  <conditionalFormatting sqref="K19">
    <cfRule type="expression" dxfId="11101" priority="686">
      <formula>$C19&lt;$E$3</formula>
    </cfRule>
  </conditionalFormatting>
  <conditionalFormatting sqref="K19">
    <cfRule type="expression" dxfId="11100" priority="682">
      <formula>$C19=$E$3</formula>
    </cfRule>
    <cfRule type="expression" dxfId="11099" priority="683">
      <formula>$C19&lt;$E$3</formula>
    </cfRule>
    <cfRule type="cellIs" dxfId="11098" priority="684" operator="equal">
      <formula>0</formula>
    </cfRule>
    <cfRule type="expression" dxfId="11097" priority="685">
      <formula>$C19&gt;$E$3</formula>
    </cfRule>
  </conditionalFormatting>
  <conditionalFormatting sqref="K19">
    <cfRule type="expression" dxfId="11096" priority="681">
      <formula>$C19&lt;$E$3</formula>
    </cfRule>
  </conditionalFormatting>
  <conditionalFormatting sqref="K19">
    <cfRule type="expression" dxfId="11095" priority="677">
      <formula>$C19=$E$3</formula>
    </cfRule>
    <cfRule type="expression" dxfId="11094" priority="678">
      <formula>$C19&lt;$E$3</formula>
    </cfRule>
    <cfRule type="cellIs" dxfId="11093" priority="679" operator="equal">
      <formula>0</formula>
    </cfRule>
    <cfRule type="expression" dxfId="11092" priority="680">
      <formula>$C19&gt;$E$3</formula>
    </cfRule>
  </conditionalFormatting>
  <conditionalFormatting sqref="K19">
    <cfRule type="expression" dxfId="11091" priority="676">
      <formula>$C19&lt;$E$3</formula>
    </cfRule>
  </conditionalFormatting>
  <conditionalFormatting sqref="K19">
    <cfRule type="expression" dxfId="11090" priority="672">
      <formula>$C19=$E$3</formula>
    </cfRule>
    <cfRule type="expression" dxfId="11089" priority="673">
      <formula>$C19&lt;$E$3</formula>
    </cfRule>
    <cfRule type="cellIs" dxfId="11088" priority="674" operator="equal">
      <formula>0</formula>
    </cfRule>
    <cfRule type="expression" dxfId="11087" priority="675">
      <formula>$C19&gt;$E$3</formula>
    </cfRule>
  </conditionalFormatting>
  <conditionalFormatting sqref="K19">
    <cfRule type="expression" dxfId="11086" priority="671">
      <formula>$E19=""</formula>
    </cfRule>
  </conditionalFormatting>
  <conditionalFormatting sqref="K19">
    <cfRule type="expression" dxfId="11085" priority="670">
      <formula>$C19&lt;$E$3</formula>
    </cfRule>
  </conditionalFormatting>
  <conditionalFormatting sqref="K19">
    <cfRule type="expression" dxfId="11084" priority="669">
      <formula>$E19=""</formula>
    </cfRule>
  </conditionalFormatting>
  <conditionalFormatting sqref="K19">
    <cfRule type="expression" dxfId="11083" priority="668">
      <formula>$E19=""</formula>
    </cfRule>
  </conditionalFormatting>
  <conditionalFormatting sqref="K19">
    <cfRule type="expression" dxfId="11082" priority="667">
      <formula>$C19&lt;$E$3</formula>
    </cfRule>
  </conditionalFormatting>
  <conditionalFormatting sqref="K19">
    <cfRule type="expression" dxfId="11081" priority="666">
      <formula>$E19=""</formula>
    </cfRule>
  </conditionalFormatting>
  <conditionalFormatting sqref="K19">
    <cfRule type="expression" dxfId="11080" priority="665">
      <formula>$C19&lt;$E$3</formula>
    </cfRule>
  </conditionalFormatting>
  <conditionalFormatting sqref="K19">
    <cfRule type="expression" dxfId="11079" priority="664">
      <formula>$E19=""</formula>
    </cfRule>
  </conditionalFormatting>
  <conditionalFormatting sqref="K19">
    <cfRule type="expression" dxfId="11078" priority="663">
      <formula>$C19&lt;$E$3</formula>
    </cfRule>
  </conditionalFormatting>
  <conditionalFormatting sqref="K19">
    <cfRule type="expression" dxfId="11077" priority="662">
      <formula>$E19=""</formula>
    </cfRule>
  </conditionalFormatting>
  <conditionalFormatting sqref="K19">
    <cfRule type="expression" dxfId="11076" priority="661">
      <formula>$C19&lt;$E$3</formula>
    </cfRule>
  </conditionalFormatting>
  <conditionalFormatting sqref="K19">
    <cfRule type="expression" dxfId="11075" priority="657">
      <formula>$C19=$E$3</formula>
    </cfRule>
    <cfRule type="expression" dxfId="11074" priority="658">
      <formula>$C19&lt;$E$3</formula>
    </cfRule>
    <cfRule type="cellIs" dxfId="11073" priority="659" operator="equal">
      <formula>0</formula>
    </cfRule>
    <cfRule type="expression" dxfId="11072" priority="660">
      <formula>$C19&gt;$E$3</formula>
    </cfRule>
  </conditionalFormatting>
  <conditionalFormatting sqref="K19">
    <cfRule type="expression" dxfId="11071" priority="656">
      <formula>$C19&lt;$E$3</formula>
    </cfRule>
  </conditionalFormatting>
  <conditionalFormatting sqref="K19">
    <cfRule type="expression" dxfId="11070" priority="652">
      <formula>$C19=$E$3</formula>
    </cfRule>
    <cfRule type="expression" dxfId="11069" priority="653">
      <formula>$C19&lt;$E$3</formula>
    </cfRule>
    <cfRule type="cellIs" dxfId="11068" priority="654" operator="equal">
      <formula>0</formula>
    </cfRule>
    <cfRule type="expression" dxfId="11067" priority="655">
      <formula>$C19&gt;$E$3</formula>
    </cfRule>
  </conditionalFormatting>
  <conditionalFormatting sqref="K19">
    <cfRule type="expression" dxfId="11066" priority="651">
      <formula>$C19&lt;$E$3</formula>
    </cfRule>
  </conditionalFormatting>
  <conditionalFormatting sqref="K19">
    <cfRule type="expression" dxfId="11065" priority="647">
      <formula>$C19=$E$3</formula>
    </cfRule>
    <cfRule type="expression" dxfId="11064" priority="648">
      <formula>$C19&lt;$E$3</formula>
    </cfRule>
    <cfRule type="cellIs" dxfId="11063" priority="649" operator="equal">
      <formula>0</formula>
    </cfRule>
    <cfRule type="expression" dxfId="11062" priority="650">
      <formula>$C19&gt;$E$3</formula>
    </cfRule>
  </conditionalFormatting>
  <conditionalFormatting sqref="K19">
    <cfRule type="expression" dxfId="11061" priority="646">
      <formula>$C19&lt;$E$3</formula>
    </cfRule>
  </conditionalFormatting>
  <conditionalFormatting sqref="K19">
    <cfRule type="expression" dxfId="11060" priority="642">
      <formula>$C19=$E$3</formula>
    </cfRule>
    <cfRule type="expression" dxfId="11059" priority="643">
      <formula>$C19&lt;$E$3</formula>
    </cfRule>
    <cfRule type="cellIs" dxfId="11058" priority="644" operator="equal">
      <formula>0</formula>
    </cfRule>
    <cfRule type="expression" dxfId="11057" priority="645">
      <formula>$C19&gt;$E$3</formula>
    </cfRule>
  </conditionalFormatting>
  <conditionalFormatting sqref="K19">
    <cfRule type="expression" dxfId="11056" priority="641">
      <formula>$E19=""</formula>
    </cfRule>
  </conditionalFormatting>
  <conditionalFormatting sqref="K19">
    <cfRule type="expression" dxfId="11055" priority="640">
      <formula>$C19&lt;$E$3</formula>
    </cfRule>
  </conditionalFormatting>
  <conditionalFormatting sqref="K19">
    <cfRule type="expression" dxfId="11054" priority="639">
      <formula>$E19=""</formula>
    </cfRule>
  </conditionalFormatting>
  <conditionalFormatting sqref="K19">
    <cfRule type="expression" dxfId="11053" priority="638">
      <formula>$E19=""</formula>
    </cfRule>
  </conditionalFormatting>
  <conditionalFormatting sqref="K19">
    <cfRule type="expression" dxfId="11052" priority="637">
      <formula>$C19&lt;$E$3</formula>
    </cfRule>
  </conditionalFormatting>
  <conditionalFormatting sqref="K19">
    <cfRule type="expression" dxfId="11051" priority="636">
      <formula>$E19=""</formula>
    </cfRule>
  </conditionalFormatting>
  <conditionalFormatting sqref="K19">
    <cfRule type="expression" dxfId="11050" priority="635">
      <formula>$C19&lt;$E$3</formula>
    </cfRule>
  </conditionalFormatting>
  <conditionalFormatting sqref="K19">
    <cfRule type="expression" dxfId="11049" priority="634">
      <formula>$E19=""</formula>
    </cfRule>
  </conditionalFormatting>
  <conditionalFormatting sqref="K19">
    <cfRule type="expression" dxfId="11048" priority="633">
      <formula>$C19&lt;$E$3</formula>
    </cfRule>
  </conditionalFormatting>
  <conditionalFormatting sqref="K19">
    <cfRule type="expression" dxfId="11047" priority="632">
      <formula>$E19=""</formula>
    </cfRule>
  </conditionalFormatting>
  <conditionalFormatting sqref="K14:K18">
    <cfRule type="expression" dxfId="11046" priority="631">
      <formula>$C14&lt;$E$3</formula>
    </cfRule>
  </conditionalFormatting>
  <conditionalFormatting sqref="K14:K18">
    <cfRule type="expression" dxfId="11045" priority="627">
      <formula>$C14=$E$3</formula>
    </cfRule>
    <cfRule type="expression" dxfId="11044" priority="628">
      <formula>$C14&lt;$E$3</formula>
    </cfRule>
    <cfRule type="cellIs" dxfId="11043" priority="629" operator="equal">
      <formula>0</formula>
    </cfRule>
    <cfRule type="expression" dxfId="11042" priority="630">
      <formula>$C14&gt;$E$3</formula>
    </cfRule>
  </conditionalFormatting>
  <conditionalFormatting sqref="K14:K18">
    <cfRule type="expression" dxfId="11041" priority="626">
      <formula>$C14&lt;$E$3</formula>
    </cfRule>
  </conditionalFormatting>
  <conditionalFormatting sqref="K14:K18">
    <cfRule type="expression" dxfId="11040" priority="622">
      <formula>$C14=$E$3</formula>
    </cfRule>
    <cfRule type="expression" dxfId="11039" priority="623">
      <formula>$C14&lt;$E$3</formula>
    </cfRule>
    <cfRule type="cellIs" dxfId="11038" priority="624" operator="equal">
      <formula>0</formula>
    </cfRule>
    <cfRule type="expression" dxfId="11037" priority="625">
      <formula>$C14&gt;$E$3</formula>
    </cfRule>
  </conditionalFormatting>
  <conditionalFormatting sqref="K14:K18">
    <cfRule type="expression" dxfId="11036" priority="621">
      <formula>$C14&lt;$E$3</formula>
    </cfRule>
  </conditionalFormatting>
  <conditionalFormatting sqref="K14:K18">
    <cfRule type="expression" dxfId="11035" priority="617">
      <formula>$C14=$E$3</formula>
    </cfRule>
    <cfRule type="expression" dxfId="11034" priority="618">
      <formula>$C14&lt;$E$3</formula>
    </cfRule>
    <cfRule type="cellIs" dxfId="11033" priority="619" operator="equal">
      <formula>0</formula>
    </cfRule>
    <cfRule type="expression" dxfId="11032" priority="620">
      <formula>$C14&gt;$E$3</formula>
    </cfRule>
  </conditionalFormatting>
  <conditionalFormatting sqref="K14:K18">
    <cfRule type="expression" dxfId="11031" priority="616">
      <formula>$C14&lt;$E$3</formula>
    </cfRule>
  </conditionalFormatting>
  <conditionalFormatting sqref="K14:K18">
    <cfRule type="expression" dxfId="11030" priority="612">
      <formula>$C14=$E$3</formula>
    </cfRule>
    <cfRule type="expression" dxfId="11029" priority="613">
      <formula>$C14&lt;$E$3</formula>
    </cfRule>
    <cfRule type="cellIs" dxfId="11028" priority="614" operator="equal">
      <formula>0</formula>
    </cfRule>
    <cfRule type="expression" dxfId="11027" priority="615">
      <formula>$C14&gt;$E$3</formula>
    </cfRule>
  </conditionalFormatting>
  <conditionalFormatting sqref="K14:K18">
    <cfRule type="expression" dxfId="11026" priority="611">
      <formula>$E14=""</formula>
    </cfRule>
  </conditionalFormatting>
  <conditionalFormatting sqref="K14:K18">
    <cfRule type="expression" dxfId="11025" priority="610">
      <formula>$C14&lt;$E$3</formula>
    </cfRule>
  </conditionalFormatting>
  <conditionalFormatting sqref="K14:K18">
    <cfRule type="expression" dxfId="11024" priority="609">
      <formula>$E14=""</formula>
    </cfRule>
  </conditionalFormatting>
  <conditionalFormatting sqref="K14:K18">
    <cfRule type="expression" dxfId="11023" priority="608">
      <formula>$E14=""</formula>
    </cfRule>
  </conditionalFormatting>
  <conditionalFormatting sqref="K14:K18">
    <cfRule type="expression" dxfId="11022" priority="607">
      <formula>$C14&lt;$E$3</formula>
    </cfRule>
  </conditionalFormatting>
  <conditionalFormatting sqref="K14:K18">
    <cfRule type="expression" dxfId="11021" priority="606">
      <formula>$E14=""</formula>
    </cfRule>
  </conditionalFormatting>
  <conditionalFormatting sqref="K14:K18">
    <cfRule type="expression" dxfId="11020" priority="605">
      <formula>$C14&lt;$E$3</formula>
    </cfRule>
  </conditionalFormatting>
  <conditionalFormatting sqref="K14:K18">
    <cfRule type="expression" dxfId="11019" priority="604">
      <formula>$E14=""</formula>
    </cfRule>
  </conditionalFormatting>
  <conditionalFormatting sqref="K14:K18">
    <cfRule type="expression" dxfId="11018" priority="603">
      <formula>$C14&lt;$E$3</formula>
    </cfRule>
  </conditionalFormatting>
  <conditionalFormatting sqref="K14:K18">
    <cfRule type="expression" dxfId="11017" priority="602">
      <formula>$E14=""</formula>
    </cfRule>
  </conditionalFormatting>
  <conditionalFormatting sqref="K14:K18">
    <cfRule type="expression" dxfId="11016" priority="601">
      <formula>$C14&lt;$E$3</formula>
    </cfRule>
  </conditionalFormatting>
  <conditionalFormatting sqref="K14:K18">
    <cfRule type="expression" dxfId="11015" priority="597">
      <formula>$C14=$E$3</formula>
    </cfRule>
    <cfRule type="expression" dxfId="11014" priority="598">
      <formula>$C14&lt;$E$3</formula>
    </cfRule>
    <cfRule type="cellIs" dxfId="11013" priority="599" operator="equal">
      <formula>0</formula>
    </cfRule>
    <cfRule type="expression" dxfId="11012" priority="600">
      <formula>$C14&gt;$E$3</formula>
    </cfRule>
  </conditionalFormatting>
  <conditionalFormatting sqref="K14:K18">
    <cfRule type="expression" dxfId="11011" priority="596">
      <formula>$C14&lt;$E$3</formula>
    </cfRule>
  </conditionalFormatting>
  <conditionalFormatting sqref="K14:K18">
    <cfRule type="expression" dxfId="11010" priority="592">
      <formula>$C14=$E$3</formula>
    </cfRule>
    <cfRule type="expression" dxfId="11009" priority="593">
      <formula>$C14&lt;$E$3</formula>
    </cfRule>
    <cfRule type="cellIs" dxfId="11008" priority="594" operator="equal">
      <formula>0</formula>
    </cfRule>
    <cfRule type="expression" dxfId="11007" priority="595">
      <formula>$C14&gt;$E$3</formula>
    </cfRule>
  </conditionalFormatting>
  <conditionalFormatting sqref="K14:K18">
    <cfRule type="expression" dxfId="11006" priority="591">
      <formula>$C14&lt;$E$3</formula>
    </cfRule>
  </conditionalFormatting>
  <conditionalFormatting sqref="K14:K18">
    <cfRule type="expression" dxfId="11005" priority="587">
      <formula>$C14=$E$3</formula>
    </cfRule>
    <cfRule type="expression" dxfId="11004" priority="588">
      <formula>$C14&lt;$E$3</formula>
    </cfRule>
    <cfRule type="cellIs" dxfId="11003" priority="589" operator="equal">
      <formula>0</formula>
    </cfRule>
    <cfRule type="expression" dxfId="11002" priority="590">
      <formula>$C14&gt;$E$3</formula>
    </cfRule>
  </conditionalFormatting>
  <conditionalFormatting sqref="K14:K18">
    <cfRule type="expression" dxfId="11001" priority="586">
      <formula>$C14&lt;$E$3</formula>
    </cfRule>
  </conditionalFormatting>
  <conditionalFormatting sqref="K14:K18">
    <cfRule type="expression" dxfId="11000" priority="582">
      <formula>$C14=$E$3</formula>
    </cfRule>
    <cfRule type="expression" dxfId="10999" priority="583">
      <formula>$C14&lt;$E$3</formula>
    </cfRule>
    <cfRule type="cellIs" dxfId="10998" priority="584" operator="equal">
      <formula>0</formula>
    </cfRule>
    <cfRule type="expression" dxfId="10997" priority="585">
      <formula>$C14&gt;$E$3</formula>
    </cfRule>
  </conditionalFormatting>
  <conditionalFormatting sqref="K14:K18">
    <cfRule type="expression" dxfId="10996" priority="581">
      <formula>$E14=""</formula>
    </cfRule>
  </conditionalFormatting>
  <conditionalFormatting sqref="K14:K18">
    <cfRule type="expression" dxfId="10995" priority="580">
      <formula>$C14&lt;$E$3</formula>
    </cfRule>
  </conditionalFormatting>
  <conditionalFormatting sqref="K14:K18">
    <cfRule type="expression" dxfId="10994" priority="579">
      <formula>$E14=""</formula>
    </cfRule>
  </conditionalFormatting>
  <conditionalFormatting sqref="K14:K18">
    <cfRule type="expression" dxfId="10993" priority="578">
      <formula>$E14=""</formula>
    </cfRule>
  </conditionalFormatting>
  <conditionalFormatting sqref="K14:K18">
    <cfRule type="expression" dxfId="10992" priority="577">
      <formula>$C14&lt;$E$3</formula>
    </cfRule>
  </conditionalFormatting>
  <conditionalFormatting sqref="K14:K18">
    <cfRule type="expression" dxfId="10991" priority="576">
      <formula>$E14=""</formula>
    </cfRule>
  </conditionalFormatting>
  <conditionalFormatting sqref="K14:K18">
    <cfRule type="expression" dxfId="10990" priority="575">
      <formula>$C14&lt;$E$3</formula>
    </cfRule>
  </conditionalFormatting>
  <conditionalFormatting sqref="K14:K18">
    <cfRule type="expression" dxfId="10989" priority="574">
      <formula>$E14=""</formula>
    </cfRule>
  </conditionalFormatting>
  <conditionalFormatting sqref="K14:K18">
    <cfRule type="expression" dxfId="10988" priority="573">
      <formula>$C14&lt;$E$3</formula>
    </cfRule>
  </conditionalFormatting>
  <conditionalFormatting sqref="K14:K18">
    <cfRule type="expression" dxfId="10987" priority="572">
      <formula>$E14=""</formula>
    </cfRule>
  </conditionalFormatting>
  <conditionalFormatting sqref="K14:K20">
    <cfRule type="expression" dxfId="10986" priority="570">
      <formula>$C14&lt;$E$3</formula>
    </cfRule>
  </conditionalFormatting>
  <conditionalFormatting sqref="K14:K20">
    <cfRule type="expression" dxfId="10985" priority="567">
      <formula>$C14=$E$3</formula>
    </cfRule>
    <cfRule type="expression" dxfId="10984" priority="568">
      <formula>$C14&lt;$E$3</formula>
    </cfRule>
    <cfRule type="cellIs" dxfId="10983" priority="569" operator="equal">
      <formula>0</formula>
    </cfRule>
    <cfRule type="expression" dxfId="10982" priority="571">
      <formula>$C14&gt;$E$3</formula>
    </cfRule>
  </conditionalFormatting>
  <conditionalFormatting sqref="K14:K20">
    <cfRule type="expression" dxfId="10981" priority="566">
      <formula>$E14=""</formula>
    </cfRule>
  </conditionalFormatting>
  <conditionalFormatting sqref="K14:K20">
    <cfRule type="expression" dxfId="10980" priority="565">
      <formula>$E14=""</formula>
    </cfRule>
  </conditionalFormatting>
  <conditionalFormatting sqref="K14:K20">
    <cfRule type="expression" dxfId="10979" priority="564">
      <formula>$E14=""</formula>
    </cfRule>
  </conditionalFormatting>
  <conditionalFormatting sqref="K16:K19">
    <cfRule type="cellIs" dxfId="10978" priority="563" stopIfTrue="1" operator="lessThan">
      <formula>0</formula>
    </cfRule>
  </conditionalFormatting>
  <conditionalFormatting sqref="K16:K19">
    <cfRule type="expression" dxfId="10977" priority="561">
      <formula>$C16&lt;$E$3</formula>
    </cfRule>
  </conditionalFormatting>
  <conditionalFormatting sqref="K16:K19">
    <cfRule type="expression" dxfId="10976" priority="558">
      <formula>$C16=$E$3</formula>
    </cfRule>
    <cfRule type="expression" dxfId="10975" priority="559">
      <formula>$C16&lt;$E$3</formula>
    </cfRule>
    <cfRule type="cellIs" dxfId="10974" priority="560" operator="equal">
      <formula>0</formula>
    </cfRule>
    <cfRule type="expression" dxfId="10973" priority="562">
      <formula>$C16&gt;$E$3</formula>
    </cfRule>
  </conditionalFormatting>
  <conditionalFormatting sqref="K16:K19">
    <cfRule type="expression" dxfId="10972" priority="557">
      <formula>$E16=""</formula>
    </cfRule>
  </conditionalFormatting>
  <conditionalFormatting sqref="K16:K19">
    <cfRule type="expression" dxfId="10971" priority="556">
      <formula>$E16=""</formula>
    </cfRule>
  </conditionalFormatting>
  <conditionalFormatting sqref="K16:K19">
    <cfRule type="expression" dxfId="10970" priority="555">
      <formula>$E16=""</formula>
    </cfRule>
  </conditionalFormatting>
  <conditionalFormatting sqref="K16:K19">
    <cfRule type="cellIs" dxfId="10969" priority="554" stopIfTrue="1" operator="lessThan">
      <formula>0</formula>
    </cfRule>
  </conditionalFormatting>
  <conditionalFormatting sqref="K16:K19">
    <cfRule type="cellIs" dxfId="10968" priority="553" stopIfTrue="1" operator="lessThan">
      <formula>0</formula>
    </cfRule>
  </conditionalFormatting>
  <conditionalFormatting sqref="K16:K19">
    <cfRule type="cellIs" dxfId="10967" priority="552" stopIfTrue="1" operator="lessThan">
      <formula>0</formula>
    </cfRule>
  </conditionalFormatting>
  <conditionalFormatting sqref="K17:K20">
    <cfRule type="cellIs" dxfId="10966" priority="551" stopIfTrue="1" operator="lessThan">
      <formula>0</formula>
    </cfRule>
  </conditionalFormatting>
  <conditionalFormatting sqref="K17:K20">
    <cfRule type="expression" dxfId="10965" priority="549">
      <formula>$C17&lt;$E$3</formula>
    </cfRule>
  </conditionalFormatting>
  <conditionalFormatting sqref="K17:K20">
    <cfRule type="expression" dxfId="10964" priority="546">
      <formula>$C17=$E$3</formula>
    </cfRule>
    <cfRule type="expression" dxfId="10963" priority="547">
      <formula>$C17&lt;$E$3</formula>
    </cfRule>
    <cfRule type="cellIs" dxfId="10962" priority="548" operator="equal">
      <formula>0</formula>
    </cfRule>
    <cfRule type="expression" dxfId="10961" priority="550">
      <formula>$C17&gt;$E$3</formula>
    </cfRule>
  </conditionalFormatting>
  <conditionalFormatting sqref="K17:K20">
    <cfRule type="expression" dxfId="10960" priority="545">
      <formula>$E17=""</formula>
    </cfRule>
  </conditionalFormatting>
  <conditionalFormatting sqref="K17:K20">
    <cfRule type="expression" dxfId="10959" priority="544">
      <formula>$E17=""</formula>
    </cfRule>
  </conditionalFormatting>
  <conditionalFormatting sqref="K17:K20">
    <cfRule type="expression" dxfId="10958" priority="543">
      <formula>$E17=""</formula>
    </cfRule>
  </conditionalFormatting>
  <conditionalFormatting sqref="K17:K20">
    <cfRule type="cellIs" dxfId="10957" priority="542" stopIfTrue="1" operator="lessThan">
      <formula>0</formula>
    </cfRule>
  </conditionalFormatting>
  <conditionalFormatting sqref="K17:K20">
    <cfRule type="cellIs" dxfId="10956" priority="541" stopIfTrue="1" operator="lessThan">
      <formula>0</formula>
    </cfRule>
  </conditionalFormatting>
  <conditionalFormatting sqref="K17:K20">
    <cfRule type="cellIs" dxfId="10955" priority="540" stopIfTrue="1" operator="lessThan">
      <formula>0</formula>
    </cfRule>
  </conditionalFormatting>
  <conditionalFormatting sqref="K28">
    <cfRule type="expression" dxfId="10954" priority="539">
      <formula>$C28&lt;$E$3</formula>
    </cfRule>
  </conditionalFormatting>
  <conditionalFormatting sqref="K28">
    <cfRule type="expression" dxfId="10953" priority="535">
      <formula>$C28=$E$3</formula>
    </cfRule>
    <cfRule type="expression" dxfId="10952" priority="536">
      <formula>$C28&lt;$E$3</formula>
    </cfRule>
    <cfRule type="cellIs" dxfId="10951" priority="537" operator="equal">
      <formula>0</formula>
    </cfRule>
    <cfRule type="expression" dxfId="10950" priority="538">
      <formula>$C28&gt;$E$3</formula>
    </cfRule>
  </conditionalFormatting>
  <conditionalFormatting sqref="K28">
    <cfRule type="expression" dxfId="10949" priority="534">
      <formula>$C28&lt;$E$3</formula>
    </cfRule>
  </conditionalFormatting>
  <conditionalFormatting sqref="K28">
    <cfRule type="expression" dxfId="10948" priority="530">
      <formula>$C28=$E$3</formula>
    </cfRule>
    <cfRule type="expression" dxfId="10947" priority="531">
      <formula>$C28&lt;$E$3</formula>
    </cfRule>
    <cfRule type="cellIs" dxfId="10946" priority="532" operator="equal">
      <formula>0</formula>
    </cfRule>
    <cfRule type="expression" dxfId="10945" priority="533">
      <formula>$C28&gt;$E$3</formula>
    </cfRule>
  </conditionalFormatting>
  <conditionalFormatting sqref="K28">
    <cfRule type="expression" dxfId="10944" priority="529">
      <formula>$C28&lt;$E$3</formula>
    </cfRule>
  </conditionalFormatting>
  <conditionalFormatting sqref="K28">
    <cfRule type="expression" dxfId="10943" priority="525">
      <formula>$C28=$E$3</formula>
    </cfRule>
    <cfRule type="expression" dxfId="10942" priority="526">
      <formula>$C28&lt;$E$3</formula>
    </cfRule>
    <cfRule type="cellIs" dxfId="10941" priority="527" operator="equal">
      <formula>0</formula>
    </cfRule>
    <cfRule type="expression" dxfId="10940" priority="528">
      <formula>$C28&gt;$E$3</formula>
    </cfRule>
  </conditionalFormatting>
  <conditionalFormatting sqref="K28">
    <cfRule type="expression" dxfId="10939" priority="524">
      <formula>$C28&lt;$E$3</formula>
    </cfRule>
  </conditionalFormatting>
  <conditionalFormatting sqref="K28">
    <cfRule type="expression" dxfId="10938" priority="520">
      <formula>$C28=$E$3</formula>
    </cfRule>
    <cfRule type="expression" dxfId="10937" priority="521">
      <formula>$C28&lt;$E$3</formula>
    </cfRule>
    <cfRule type="cellIs" dxfId="10936" priority="522" operator="equal">
      <formula>0</formula>
    </cfRule>
    <cfRule type="expression" dxfId="10935" priority="523">
      <formula>$C28&gt;$E$3</formula>
    </cfRule>
  </conditionalFormatting>
  <conditionalFormatting sqref="K28">
    <cfRule type="expression" dxfId="10934" priority="519">
      <formula>$E28=""</formula>
    </cfRule>
  </conditionalFormatting>
  <conditionalFormatting sqref="K28">
    <cfRule type="expression" dxfId="10933" priority="518">
      <formula>$C28&lt;$E$3</formula>
    </cfRule>
  </conditionalFormatting>
  <conditionalFormatting sqref="K28">
    <cfRule type="expression" dxfId="10932" priority="517">
      <formula>$E28=""</formula>
    </cfRule>
  </conditionalFormatting>
  <conditionalFormatting sqref="K28">
    <cfRule type="expression" dxfId="10931" priority="516">
      <formula>$E28=""</formula>
    </cfRule>
  </conditionalFormatting>
  <conditionalFormatting sqref="K28">
    <cfRule type="expression" dxfId="10930" priority="515">
      <formula>$C28&lt;$E$3</formula>
    </cfRule>
  </conditionalFormatting>
  <conditionalFormatting sqref="K28">
    <cfRule type="expression" dxfId="10929" priority="514">
      <formula>$E28=""</formula>
    </cfRule>
  </conditionalFormatting>
  <conditionalFormatting sqref="K28">
    <cfRule type="expression" dxfId="10928" priority="513">
      <formula>$C28&lt;$E$3</formula>
    </cfRule>
  </conditionalFormatting>
  <conditionalFormatting sqref="K28">
    <cfRule type="expression" dxfId="10927" priority="512">
      <formula>$E28=""</formula>
    </cfRule>
  </conditionalFormatting>
  <conditionalFormatting sqref="K28">
    <cfRule type="expression" dxfId="10926" priority="511">
      <formula>$C28&lt;$E$3</formula>
    </cfRule>
  </conditionalFormatting>
  <conditionalFormatting sqref="K28">
    <cfRule type="expression" dxfId="10925" priority="510">
      <formula>$E28=""</formula>
    </cfRule>
  </conditionalFormatting>
  <conditionalFormatting sqref="K28">
    <cfRule type="expression" dxfId="10924" priority="509">
      <formula>$C28&lt;$E$3</formula>
    </cfRule>
  </conditionalFormatting>
  <conditionalFormatting sqref="K28">
    <cfRule type="expression" dxfId="10923" priority="505">
      <formula>$C28=$E$3</formula>
    </cfRule>
    <cfRule type="expression" dxfId="10922" priority="506">
      <formula>$C28&lt;$E$3</formula>
    </cfRule>
    <cfRule type="cellIs" dxfId="10921" priority="507" operator="equal">
      <formula>0</formula>
    </cfRule>
    <cfRule type="expression" dxfId="10920" priority="508">
      <formula>$C28&gt;$E$3</formula>
    </cfRule>
  </conditionalFormatting>
  <conditionalFormatting sqref="K28">
    <cfRule type="expression" dxfId="10919" priority="504">
      <formula>$C28&lt;$E$3</formula>
    </cfRule>
  </conditionalFormatting>
  <conditionalFormatting sqref="K28">
    <cfRule type="expression" dxfId="10918" priority="500">
      <formula>$C28=$E$3</formula>
    </cfRule>
    <cfRule type="expression" dxfId="10917" priority="501">
      <formula>$C28&lt;$E$3</formula>
    </cfRule>
    <cfRule type="cellIs" dxfId="10916" priority="502" operator="equal">
      <formula>0</formula>
    </cfRule>
    <cfRule type="expression" dxfId="10915" priority="503">
      <formula>$C28&gt;$E$3</formula>
    </cfRule>
  </conditionalFormatting>
  <conditionalFormatting sqref="K28">
    <cfRule type="expression" dxfId="10914" priority="499">
      <formula>$C28&lt;$E$3</formula>
    </cfRule>
  </conditionalFormatting>
  <conditionalFormatting sqref="K28">
    <cfRule type="expression" dxfId="10913" priority="495">
      <formula>$C28=$E$3</formula>
    </cfRule>
    <cfRule type="expression" dxfId="10912" priority="496">
      <formula>$C28&lt;$E$3</formula>
    </cfRule>
    <cfRule type="cellIs" dxfId="10911" priority="497" operator="equal">
      <formula>0</formula>
    </cfRule>
    <cfRule type="expression" dxfId="10910" priority="498">
      <formula>$C28&gt;$E$3</formula>
    </cfRule>
  </conditionalFormatting>
  <conditionalFormatting sqref="K28">
    <cfRule type="expression" dxfId="10909" priority="494">
      <formula>$C28&lt;$E$3</formula>
    </cfRule>
  </conditionalFormatting>
  <conditionalFormatting sqref="K28">
    <cfRule type="expression" dxfId="10908" priority="490">
      <formula>$C28=$E$3</formula>
    </cfRule>
    <cfRule type="expression" dxfId="10907" priority="491">
      <formula>$C28&lt;$E$3</formula>
    </cfRule>
    <cfRule type="cellIs" dxfId="10906" priority="492" operator="equal">
      <formula>0</formula>
    </cfRule>
    <cfRule type="expression" dxfId="10905" priority="493">
      <formula>$C28&gt;$E$3</formula>
    </cfRule>
  </conditionalFormatting>
  <conditionalFormatting sqref="K28">
    <cfRule type="expression" dxfId="10904" priority="489">
      <formula>$E28=""</formula>
    </cfRule>
  </conditionalFormatting>
  <conditionalFormatting sqref="K28">
    <cfRule type="expression" dxfId="10903" priority="488">
      <formula>$C28&lt;$E$3</formula>
    </cfRule>
  </conditionalFormatting>
  <conditionalFormatting sqref="K28">
    <cfRule type="expression" dxfId="10902" priority="487">
      <formula>$E28=""</formula>
    </cfRule>
  </conditionalFormatting>
  <conditionalFormatting sqref="K28">
    <cfRule type="expression" dxfId="10901" priority="486">
      <formula>$E28=""</formula>
    </cfRule>
  </conditionalFormatting>
  <conditionalFormatting sqref="K28">
    <cfRule type="expression" dxfId="10900" priority="485">
      <formula>$C28&lt;$E$3</formula>
    </cfRule>
  </conditionalFormatting>
  <conditionalFormatting sqref="K28">
    <cfRule type="expression" dxfId="10899" priority="484">
      <formula>$E28=""</formula>
    </cfRule>
  </conditionalFormatting>
  <conditionalFormatting sqref="K28">
    <cfRule type="expression" dxfId="10898" priority="483">
      <formula>$C28&lt;$E$3</formula>
    </cfRule>
  </conditionalFormatting>
  <conditionalFormatting sqref="K28">
    <cfRule type="expression" dxfId="10897" priority="482">
      <formula>$E28=""</formula>
    </cfRule>
  </conditionalFormatting>
  <conditionalFormatting sqref="K28">
    <cfRule type="expression" dxfId="10896" priority="481">
      <formula>$C28&lt;$E$3</formula>
    </cfRule>
  </conditionalFormatting>
  <conditionalFormatting sqref="K28">
    <cfRule type="expression" dxfId="10895" priority="480">
      <formula>$E28=""</formula>
    </cfRule>
  </conditionalFormatting>
  <conditionalFormatting sqref="K23:K27">
    <cfRule type="expression" dxfId="10894" priority="479">
      <formula>$C23&lt;$E$3</formula>
    </cfRule>
  </conditionalFormatting>
  <conditionalFormatting sqref="K23:K27">
    <cfRule type="expression" dxfId="10893" priority="475">
      <formula>$C23=$E$3</formula>
    </cfRule>
    <cfRule type="expression" dxfId="10892" priority="476">
      <formula>$C23&lt;$E$3</formula>
    </cfRule>
    <cfRule type="cellIs" dxfId="10891" priority="477" operator="equal">
      <formula>0</formula>
    </cfRule>
    <cfRule type="expression" dxfId="10890" priority="478">
      <formula>$C23&gt;$E$3</formula>
    </cfRule>
  </conditionalFormatting>
  <conditionalFormatting sqref="K23:K27">
    <cfRule type="expression" dxfId="10889" priority="474">
      <formula>$C23&lt;$E$3</formula>
    </cfRule>
  </conditionalFormatting>
  <conditionalFormatting sqref="K23:K27">
    <cfRule type="expression" dxfId="10888" priority="470">
      <formula>$C23=$E$3</formula>
    </cfRule>
    <cfRule type="expression" dxfId="10887" priority="471">
      <formula>$C23&lt;$E$3</formula>
    </cfRule>
    <cfRule type="cellIs" dxfId="10886" priority="472" operator="equal">
      <formula>0</formula>
    </cfRule>
    <cfRule type="expression" dxfId="10885" priority="473">
      <formula>$C23&gt;$E$3</formula>
    </cfRule>
  </conditionalFormatting>
  <conditionalFormatting sqref="K23:K27">
    <cfRule type="expression" dxfId="10884" priority="469">
      <formula>$C23&lt;$E$3</formula>
    </cfRule>
  </conditionalFormatting>
  <conditionalFormatting sqref="K23:K27">
    <cfRule type="expression" dxfId="10883" priority="465">
      <formula>$C23=$E$3</formula>
    </cfRule>
    <cfRule type="expression" dxfId="10882" priority="466">
      <formula>$C23&lt;$E$3</formula>
    </cfRule>
    <cfRule type="cellIs" dxfId="10881" priority="467" operator="equal">
      <formula>0</formula>
    </cfRule>
    <cfRule type="expression" dxfId="10880" priority="468">
      <formula>$C23&gt;$E$3</formula>
    </cfRule>
  </conditionalFormatting>
  <conditionalFormatting sqref="K23:K27">
    <cfRule type="expression" dxfId="10879" priority="464">
      <formula>$C23&lt;$E$3</formula>
    </cfRule>
  </conditionalFormatting>
  <conditionalFormatting sqref="K23:K27">
    <cfRule type="expression" dxfId="10878" priority="460">
      <formula>$C23=$E$3</formula>
    </cfRule>
    <cfRule type="expression" dxfId="10877" priority="461">
      <formula>$C23&lt;$E$3</formula>
    </cfRule>
    <cfRule type="cellIs" dxfId="10876" priority="462" operator="equal">
      <formula>0</formula>
    </cfRule>
    <cfRule type="expression" dxfId="10875" priority="463">
      <formula>$C23&gt;$E$3</formula>
    </cfRule>
  </conditionalFormatting>
  <conditionalFormatting sqref="K23:K27">
    <cfRule type="expression" dxfId="10874" priority="459">
      <formula>$E23=""</formula>
    </cfRule>
  </conditionalFormatting>
  <conditionalFormatting sqref="K23:K27">
    <cfRule type="expression" dxfId="10873" priority="458">
      <formula>$C23&lt;$E$3</formula>
    </cfRule>
  </conditionalFormatting>
  <conditionalFormatting sqref="K23:K27">
    <cfRule type="expression" dxfId="10872" priority="457">
      <formula>$E23=""</formula>
    </cfRule>
  </conditionalFormatting>
  <conditionalFormatting sqref="K23:K27">
    <cfRule type="expression" dxfId="10871" priority="456">
      <formula>$E23=""</formula>
    </cfRule>
  </conditionalFormatting>
  <conditionalFormatting sqref="K23:K27">
    <cfRule type="expression" dxfId="10870" priority="455">
      <formula>$C23&lt;$E$3</formula>
    </cfRule>
  </conditionalFormatting>
  <conditionalFormatting sqref="K23:K27">
    <cfRule type="expression" dxfId="10869" priority="454">
      <formula>$E23=""</formula>
    </cfRule>
  </conditionalFormatting>
  <conditionalFormatting sqref="K23:K27">
    <cfRule type="expression" dxfId="10868" priority="453">
      <formula>$C23&lt;$E$3</formula>
    </cfRule>
  </conditionalFormatting>
  <conditionalFormatting sqref="K23:K27">
    <cfRule type="expression" dxfId="10867" priority="452">
      <formula>$E23=""</formula>
    </cfRule>
  </conditionalFormatting>
  <conditionalFormatting sqref="K23:K27">
    <cfRule type="expression" dxfId="10866" priority="451">
      <formula>$C23&lt;$E$3</formula>
    </cfRule>
  </conditionalFormatting>
  <conditionalFormatting sqref="K23:K27">
    <cfRule type="expression" dxfId="10865" priority="450">
      <formula>$E23=""</formula>
    </cfRule>
  </conditionalFormatting>
  <conditionalFormatting sqref="K23:K27">
    <cfRule type="expression" dxfId="10864" priority="449">
      <formula>$C23&lt;$E$3</formula>
    </cfRule>
  </conditionalFormatting>
  <conditionalFormatting sqref="K23:K27">
    <cfRule type="expression" dxfId="10863" priority="445">
      <formula>$C23=$E$3</formula>
    </cfRule>
    <cfRule type="expression" dxfId="10862" priority="446">
      <formula>$C23&lt;$E$3</formula>
    </cfRule>
    <cfRule type="cellIs" dxfId="10861" priority="447" operator="equal">
      <formula>0</formula>
    </cfRule>
    <cfRule type="expression" dxfId="10860" priority="448">
      <formula>$C23&gt;$E$3</formula>
    </cfRule>
  </conditionalFormatting>
  <conditionalFormatting sqref="K23:K27">
    <cfRule type="expression" dxfId="10859" priority="444">
      <formula>$C23&lt;$E$3</formula>
    </cfRule>
  </conditionalFormatting>
  <conditionalFormatting sqref="K23:K27">
    <cfRule type="expression" dxfId="10858" priority="440">
      <formula>$C23=$E$3</formula>
    </cfRule>
    <cfRule type="expression" dxfId="10857" priority="441">
      <formula>$C23&lt;$E$3</formula>
    </cfRule>
    <cfRule type="cellIs" dxfId="10856" priority="442" operator="equal">
      <formula>0</formula>
    </cfRule>
    <cfRule type="expression" dxfId="10855" priority="443">
      <formula>$C23&gt;$E$3</formula>
    </cfRule>
  </conditionalFormatting>
  <conditionalFormatting sqref="K23:K27">
    <cfRule type="expression" dxfId="10854" priority="439">
      <formula>$C23&lt;$E$3</formula>
    </cfRule>
  </conditionalFormatting>
  <conditionalFormatting sqref="K23:K27">
    <cfRule type="expression" dxfId="10853" priority="435">
      <formula>$C23=$E$3</formula>
    </cfRule>
    <cfRule type="expression" dxfId="10852" priority="436">
      <formula>$C23&lt;$E$3</formula>
    </cfRule>
    <cfRule type="cellIs" dxfId="10851" priority="437" operator="equal">
      <formula>0</formula>
    </cfRule>
    <cfRule type="expression" dxfId="10850" priority="438">
      <formula>$C23&gt;$E$3</formula>
    </cfRule>
  </conditionalFormatting>
  <conditionalFormatting sqref="K23:K27">
    <cfRule type="expression" dxfId="10849" priority="434">
      <formula>$C23&lt;$E$3</formula>
    </cfRule>
  </conditionalFormatting>
  <conditionalFormatting sqref="K23:K27">
    <cfRule type="expression" dxfId="10848" priority="430">
      <formula>$C23=$E$3</formula>
    </cfRule>
    <cfRule type="expression" dxfId="10847" priority="431">
      <formula>$C23&lt;$E$3</formula>
    </cfRule>
    <cfRule type="cellIs" dxfId="10846" priority="432" operator="equal">
      <formula>0</formula>
    </cfRule>
    <cfRule type="expression" dxfId="10845" priority="433">
      <formula>$C23&gt;$E$3</formula>
    </cfRule>
  </conditionalFormatting>
  <conditionalFormatting sqref="K23:K27">
    <cfRule type="expression" dxfId="10844" priority="429">
      <formula>$E23=""</formula>
    </cfRule>
  </conditionalFormatting>
  <conditionalFormatting sqref="K23:K27">
    <cfRule type="expression" dxfId="10843" priority="428">
      <formula>$C23&lt;$E$3</formula>
    </cfRule>
  </conditionalFormatting>
  <conditionalFormatting sqref="K23:K27">
    <cfRule type="expression" dxfId="10842" priority="427">
      <formula>$E23=""</formula>
    </cfRule>
  </conditionalFormatting>
  <conditionalFormatting sqref="K23:K27">
    <cfRule type="expression" dxfId="10841" priority="426">
      <formula>$E23=""</formula>
    </cfRule>
  </conditionalFormatting>
  <conditionalFormatting sqref="K23:K27">
    <cfRule type="expression" dxfId="10840" priority="425">
      <formula>$C23&lt;$E$3</formula>
    </cfRule>
  </conditionalFormatting>
  <conditionalFormatting sqref="K23:K27">
    <cfRule type="expression" dxfId="10839" priority="424">
      <formula>$E23=""</formula>
    </cfRule>
  </conditionalFormatting>
  <conditionalFormatting sqref="K23:K27">
    <cfRule type="expression" dxfId="10838" priority="423">
      <formula>$C23&lt;$E$3</formula>
    </cfRule>
  </conditionalFormatting>
  <conditionalFormatting sqref="K23:K27">
    <cfRule type="expression" dxfId="10837" priority="422">
      <formula>$E23=""</formula>
    </cfRule>
  </conditionalFormatting>
  <conditionalFormatting sqref="K23:K27">
    <cfRule type="expression" dxfId="10836" priority="421">
      <formula>$C23&lt;$E$3</formula>
    </cfRule>
  </conditionalFormatting>
  <conditionalFormatting sqref="K23:K27">
    <cfRule type="expression" dxfId="10835" priority="420">
      <formula>$E23=""</formula>
    </cfRule>
  </conditionalFormatting>
  <conditionalFormatting sqref="K23:K29">
    <cfRule type="expression" dxfId="10834" priority="418">
      <formula>$C23&lt;$E$3</formula>
    </cfRule>
  </conditionalFormatting>
  <conditionalFormatting sqref="K23:K29">
    <cfRule type="expression" dxfId="10833" priority="415">
      <formula>$C23=$E$3</formula>
    </cfRule>
    <cfRule type="expression" dxfId="10832" priority="416">
      <formula>$C23&lt;$E$3</formula>
    </cfRule>
    <cfRule type="cellIs" dxfId="10831" priority="417" operator="equal">
      <formula>0</formula>
    </cfRule>
    <cfRule type="expression" dxfId="10830" priority="419">
      <formula>$C23&gt;$E$3</formula>
    </cfRule>
  </conditionalFormatting>
  <conditionalFormatting sqref="K23:K29">
    <cfRule type="expression" dxfId="10829" priority="414">
      <formula>$E23=""</formula>
    </cfRule>
  </conditionalFormatting>
  <conditionalFormatting sqref="K23:K29">
    <cfRule type="expression" dxfId="10828" priority="413">
      <formula>$E23=""</formula>
    </cfRule>
  </conditionalFormatting>
  <conditionalFormatting sqref="K23:K29">
    <cfRule type="expression" dxfId="10827" priority="412">
      <formula>$E23=""</formula>
    </cfRule>
  </conditionalFormatting>
  <conditionalFormatting sqref="K25:K28">
    <cfRule type="cellIs" dxfId="10826" priority="411" stopIfTrue="1" operator="lessThan">
      <formula>0</formula>
    </cfRule>
  </conditionalFormatting>
  <conditionalFormatting sqref="K25:K28">
    <cfRule type="expression" dxfId="10825" priority="409">
      <formula>$C25&lt;$E$3</formula>
    </cfRule>
  </conditionalFormatting>
  <conditionalFormatting sqref="K25:K28">
    <cfRule type="expression" dxfId="10824" priority="406">
      <formula>$C25=$E$3</formula>
    </cfRule>
    <cfRule type="expression" dxfId="10823" priority="407">
      <formula>$C25&lt;$E$3</formula>
    </cfRule>
    <cfRule type="cellIs" dxfId="10822" priority="408" operator="equal">
      <formula>0</formula>
    </cfRule>
    <cfRule type="expression" dxfId="10821" priority="410">
      <formula>$C25&gt;$E$3</formula>
    </cfRule>
  </conditionalFormatting>
  <conditionalFormatting sqref="K25:K28">
    <cfRule type="expression" dxfId="10820" priority="405">
      <formula>$E25=""</formula>
    </cfRule>
  </conditionalFormatting>
  <conditionalFormatting sqref="K25:K28">
    <cfRule type="expression" dxfId="10819" priority="404">
      <formula>$E25=""</formula>
    </cfRule>
  </conditionalFormatting>
  <conditionalFormatting sqref="K25:K28">
    <cfRule type="expression" dxfId="10818" priority="403">
      <formula>$E25=""</formula>
    </cfRule>
  </conditionalFormatting>
  <conditionalFormatting sqref="K25:K28">
    <cfRule type="cellIs" dxfId="10817" priority="402" stopIfTrue="1" operator="lessThan">
      <formula>0</formula>
    </cfRule>
  </conditionalFormatting>
  <conditionalFormatting sqref="K25:K28">
    <cfRule type="cellIs" dxfId="10816" priority="401" stopIfTrue="1" operator="lessThan">
      <formula>0</formula>
    </cfRule>
  </conditionalFormatting>
  <conditionalFormatting sqref="K25:K28">
    <cfRule type="cellIs" dxfId="10815" priority="400" stopIfTrue="1" operator="lessThan">
      <formula>0</formula>
    </cfRule>
  </conditionalFormatting>
  <conditionalFormatting sqref="K26:K29">
    <cfRule type="cellIs" dxfId="10814" priority="399" stopIfTrue="1" operator="lessThan">
      <formula>0</formula>
    </cfRule>
  </conditionalFormatting>
  <conditionalFormatting sqref="K26:K29">
    <cfRule type="expression" dxfId="10813" priority="397">
      <formula>$C26&lt;$E$3</formula>
    </cfRule>
  </conditionalFormatting>
  <conditionalFormatting sqref="K26:K29">
    <cfRule type="expression" dxfId="10812" priority="394">
      <formula>$C26=$E$3</formula>
    </cfRule>
    <cfRule type="expression" dxfId="10811" priority="395">
      <formula>$C26&lt;$E$3</formula>
    </cfRule>
    <cfRule type="cellIs" dxfId="10810" priority="396" operator="equal">
      <formula>0</formula>
    </cfRule>
    <cfRule type="expression" dxfId="10809" priority="398">
      <formula>$C26&gt;$E$3</formula>
    </cfRule>
  </conditionalFormatting>
  <conditionalFormatting sqref="K26:K29">
    <cfRule type="expression" dxfId="10808" priority="393">
      <formula>$E26=""</formula>
    </cfRule>
  </conditionalFormatting>
  <conditionalFormatting sqref="K26:K29">
    <cfRule type="expression" dxfId="10807" priority="392">
      <formula>$E26=""</formula>
    </cfRule>
  </conditionalFormatting>
  <conditionalFormatting sqref="K26:K29">
    <cfRule type="expression" dxfId="10806" priority="391">
      <formula>$E26=""</formula>
    </cfRule>
  </conditionalFormatting>
  <conditionalFormatting sqref="K26:K29">
    <cfRule type="cellIs" dxfId="10805" priority="390" stopIfTrue="1" operator="lessThan">
      <formula>0</formula>
    </cfRule>
  </conditionalFormatting>
  <conditionalFormatting sqref="K26:K29">
    <cfRule type="cellIs" dxfId="10804" priority="389" stopIfTrue="1" operator="lessThan">
      <formula>0</formula>
    </cfRule>
  </conditionalFormatting>
  <conditionalFormatting sqref="K26:K29">
    <cfRule type="cellIs" dxfId="10803" priority="388" stopIfTrue="1" operator="lessThan">
      <formula>0</formula>
    </cfRule>
  </conditionalFormatting>
  <conditionalFormatting sqref="K37">
    <cfRule type="expression" dxfId="10802" priority="387">
      <formula>$C37&lt;$E$3</formula>
    </cfRule>
  </conditionalFormatting>
  <conditionalFormatting sqref="K37">
    <cfRule type="expression" dxfId="10801" priority="383">
      <formula>$C37=$E$3</formula>
    </cfRule>
    <cfRule type="expression" dxfId="10800" priority="384">
      <formula>$C37&lt;$E$3</formula>
    </cfRule>
    <cfRule type="cellIs" dxfId="10799" priority="385" operator="equal">
      <formula>0</formula>
    </cfRule>
    <cfRule type="expression" dxfId="10798" priority="386">
      <formula>$C37&gt;$E$3</formula>
    </cfRule>
  </conditionalFormatting>
  <conditionalFormatting sqref="K37">
    <cfRule type="expression" dxfId="10797" priority="382">
      <formula>$C37&lt;$E$3</formula>
    </cfRule>
  </conditionalFormatting>
  <conditionalFormatting sqref="K37">
    <cfRule type="expression" dxfId="10796" priority="378">
      <formula>$C37=$E$3</formula>
    </cfRule>
    <cfRule type="expression" dxfId="10795" priority="379">
      <formula>$C37&lt;$E$3</formula>
    </cfRule>
    <cfRule type="cellIs" dxfId="10794" priority="380" operator="equal">
      <formula>0</formula>
    </cfRule>
    <cfRule type="expression" dxfId="10793" priority="381">
      <formula>$C37&gt;$E$3</formula>
    </cfRule>
  </conditionalFormatting>
  <conditionalFormatting sqref="K37">
    <cfRule type="expression" dxfId="10792" priority="377">
      <formula>$C37&lt;$E$3</formula>
    </cfRule>
  </conditionalFormatting>
  <conditionalFormatting sqref="K37">
    <cfRule type="expression" dxfId="10791" priority="373">
      <formula>$C37=$E$3</formula>
    </cfRule>
    <cfRule type="expression" dxfId="10790" priority="374">
      <formula>$C37&lt;$E$3</formula>
    </cfRule>
    <cfRule type="cellIs" dxfId="10789" priority="375" operator="equal">
      <formula>0</formula>
    </cfRule>
    <cfRule type="expression" dxfId="10788" priority="376">
      <formula>$C37&gt;$E$3</formula>
    </cfRule>
  </conditionalFormatting>
  <conditionalFormatting sqref="K37">
    <cfRule type="expression" dxfId="10787" priority="372">
      <formula>$C37&lt;$E$3</formula>
    </cfRule>
  </conditionalFormatting>
  <conditionalFormatting sqref="K37">
    <cfRule type="expression" dxfId="10786" priority="368">
      <formula>$C37=$E$3</formula>
    </cfRule>
    <cfRule type="expression" dxfId="10785" priority="369">
      <formula>$C37&lt;$E$3</formula>
    </cfRule>
    <cfRule type="cellIs" dxfId="10784" priority="370" operator="equal">
      <formula>0</formula>
    </cfRule>
    <cfRule type="expression" dxfId="10783" priority="371">
      <formula>$C37&gt;$E$3</formula>
    </cfRule>
  </conditionalFormatting>
  <conditionalFormatting sqref="K37">
    <cfRule type="expression" dxfId="10782" priority="367">
      <formula>$E37=""</formula>
    </cfRule>
  </conditionalFormatting>
  <conditionalFormatting sqref="K37">
    <cfRule type="expression" dxfId="10781" priority="366">
      <formula>$C37&lt;$E$3</formula>
    </cfRule>
  </conditionalFormatting>
  <conditionalFormatting sqref="K37">
    <cfRule type="expression" dxfId="10780" priority="365">
      <formula>$E37=""</formula>
    </cfRule>
  </conditionalFormatting>
  <conditionalFormatting sqref="K37">
    <cfRule type="expression" dxfId="10779" priority="364">
      <formula>$E37=""</formula>
    </cfRule>
  </conditionalFormatting>
  <conditionalFormatting sqref="K37">
    <cfRule type="expression" dxfId="10778" priority="363">
      <formula>$C37&lt;$E$3</formula>
    </cfRule>
  </conditionalFormatting>
  <conditionalFormatting sqref="K37">
    <cfRule type="expression" dxfId="10777" priority="362">
      <formula>$E37=""</formula>
    </cfRule>
  </conditionalFormatting>
  <conditionalFormatting sqref="K37">
    <cfRule type="expression" dxfId="10776" priority="361">
      <formula>$C37&lt;$E$3</formula>
    </cfRule>
  </conditionalFormatting>
  <conditionalFormatting sqref="K37">
    <cfRule type="expression" dxfId="10775" priority="360">
      <formula>$E37=""</formula>
    </cfRule>
  </conditionalFormatting>
  <conditionalFormatting sqref="K37">
    <cfRule type="expression" dxfId="10774" priority="359">
      <formula>$C37&lt;$E$3</formula>
    </cfRule>
  </conditionalFormatting>
  <conditionalFormatting sqref="K37">
    <cfRule type="expression" dxfId="10773" priority="358">
      <formula>$E37=""</formula>
    </cfRule>
  </conditionalFormatting>
  <conditionalFormatting sqref="K37">
    <cfRule type="expression" dxfId="10772" priority="357">
      <formula>$C37&lt;$E$3</formula>
    </cfRule>
  </conditionalFormatting>
  <conditionalFormatting sqref="K37">
    <cfRule type="expression" dxfId="10771" priority="353">
      <formula>$C37=$E$3</formula>
    </cfRule>
    <cfRule type="expression" dxfId="10770" priority="354">
      <formula>$C37&lt;$E$3</formula>
    </cfRule>
    <cfRule type="cellIs" dxfId="10769" priority="355" operator="equal">
      <formula>0</formula>
    </cfRule>
    <cfRule type="expression" dxfId="10768" priority="356">
      <formula>$C37&gt;$E$3</formula>
    </cfRule>
  </conditionalFormatting>
  <conditionalFormatting sqref="K37">
    <cfRule type="expression" dxfId="10767" priority="352">
      <formula>$C37&lt;$E$3</formula>
    </cfRule>
  </conditionalFormatting>
  <conditionalFormatting sqref="K37">
    <cfRule type="expression" dxfId="10766" priority="348">
      <formula>$C37=$E$3</formula>
    </cfRule>
    <cfRule type="expression" dxfId="10765" priority="349">
      <formula>$C37&lt;$E$3</formula>
    </cfRule>
    <cfRule type="cellIs" dxfId="10764" priority="350" operator="equal">
      <formula>0</formula>
    </cfRule>
    <cfRule type="expression" dxfId="10763" priority="351">
      <formula>$C37&gt;$E$3</formula>
    </cfRule>
  </conditionalFormatting>
  <conditionalFormatting sqref="K37">
    <cfRule type="expression" dxfId="10762" priority="347">
      <formula>$C37&lt;$E$3</formula>
    </cfRule>
  </conditionalFormatting>
  <conditionalFormatting sqref="K37">
    <cfRule type="expression" dxfId="10761" priority="343">
      <formula>$C37=$E$3</formula>
    </cfRule>
    <cfRule type="expression" dxfId="10760" priority="344">
      <formula>$C37&lt;$E$3</formula>
    </cfRule>
    <cfRule type="cellIs" dxfId="10759" priority="345" operator="equal">
      <formula>0</formula>
    </cfRule>
    <cfRule type="expression" dxfId="10758" priority="346">
      <formula>$C37&gt;$E$3</formula>
    </cfRule>
  </conditionalFormatting>
  <conditionalFormatting sqref="K37">
    <cfRule type="expression" dxfId="10757" priority="342">
      <formula>$C37&lt;$E$3</formula>
    </cfRule>
  </conditionalFormatting>
  <conditionalFormatting sqref="K37">
    <cfRule type="expression" dxfId="10756" priority="338">
      <formula>$C37=$E$3</formula>
    </cfRule>
    <cfRule type="expression" dxfId="10755" priority="339">
      <formula>$C37&lt;$E$3</formula>
    </cfRule>
    <cfRule type="cellIs" dxfId="10754" priority="340" operator="equal">
      <formula>0</formula>
    </cfRule>
    <cfRule type="expression" dxfId="10753" priority="341">
      <formula>$C37&gt;$E$3</formula>
    </cfRule>
  </conditionalFormatting>
  <conditionalFormatting sqref="K37">
    <cfRule type="expression" dxfId="10752" priority="337">
      <formula>$E37=""</formula>
    </cfRule>
  </conditionalFormatting>
  <conditionalFormatting sqref="K37">
    <cfRule type="expression" dxfId="10751" priority="336">
      <formula>$C37&lt;$E$3</formula>
    </cfRule>
  </conditionalFormatting>
  <conditionalFormatting sqref="K37">
    <cfRule type="expression" dxfId="10750" priority="335">
      <formula>$E37=""</formula>
    </cfRule>
  </conditionalFormatting>
  <conditionalFormatting sqref="K37">
    <cfRule type="expression" dxfId="10749" priority="334">
      <formula>$E37=""</formula>
    </cfRule>
  </conditionalFormatting>
  <conditionalFormatting sqref="K37">
    <cfRule type="expression" dxfId="10748" priority="333">
      <formula>$C37&lt;$E$3</formula>
    </cfRule>
  </conditionalFormatting>
  <conditionalFormatting sqref="K37">
    <cfRule type="expression" dxfId="10747" priority="332">
      <formula>$E37=""</formula>
    </cfRule>
  </conditionalFormatting>
  <conditionalFormatting sqref="K37">
    <cfRule type="expression" dxfId="10746" priority="331">
      <formula>$C37&lt;$E$3</formula>
    </cfRule>
  </conditionalFormatting>
  <conditionalFormatting sqref="K37">
    <cfRule type="expression" dxfId="10745" priority="330">
      <formula>$E37=""</formula>
    </cfRule>
  </conditionalFormatting>
  <conditionalFormatting sqref="K37">
    <cfRule type="expression" dxfId="10744" priority="329">
      <formula>$C37&lt;$E$3</formula>
    </cfRule>
  </conditionalFormatting>
  <conditionalFormatting sqref="K37">
    <cfRule type="expression" dxfId="10743" priority="328">
      <formula>$E37=""</formula>
    </cfRule>
  </conditionalFormatting>
  <conditionalFormatting sqref="K32:K36">
    <cfRule type="expression" dxfId="10742" priority="327">
      <formula>$C32&lt;$E$3</formula>
    </cfRule>
  </conditionalFormatting>
  <conditionalFormatting sqref="K32:K36">
    <cfRule type="expression" dxfId="10741" priority="323">
      <formula>$C32=$E$3</formula>
    </cfRule>
    <cfRule type="expression" dxfId="10740" priority="324">
      <formula>$C32&lt;$E$3</formula>
    </cfRule>
    <cfRule type="cellIs" dxfId="10739" priority="325" operator="equal">
      <formula>0</formula>
    </cfRule>
    <cfRule type="expression" dxfId="10738" priority="326">
      <formula>$C32&gt;$E$3</formula>
    </cfRule>
  </conditionalFormatting>
  <conditionalFormatting sqref="K32:K36">
    <cfRule type="expression" dxfId="10737" priority="322">
      <formula>$C32&lt;$E$3</formula>
    </cfRule>
  </conditionalFormatting>
  <conditionalFormatting sqref="K32:K36">
    <cfRule type="expression" dxfId="10736" priority="318">
      <formula>$C32=$E$3</formula>
    </cfRule>
    <cfRule type="expression" dxfId="10735" priority="319">
      <formula>$C32&lt;$E$3</formula>
    </cfRule>
    <cfRule type="cellIs" dxfId="10734" priority="320" operator="equal">
      <formula>0</formula>
    </cfRule>
    <cfRule type="expression" dxfId="10733" priority="321">
      <formula>$C32&gt;$E$3</formula>
    </cfRule>
  </conditionalFormatting>
  <conditionalFormatting sqref="K32:K36">
    <cfRule type="expression" dxfId="10732" priority="317">
      <formula>$C32&lt;$E$3</formula>
    </cfRule>
  </conditionalFormatting>
  <conditionalFormatting sqref="K32:K36">
    <cfRule type="expression" dxfId="10731" priority="313">
      <formula>$C32=$E$3</formula>
    </cfRule>
    <cfRule type="expression" dxfId="10730" priority="314">
      <formula>$C32&lt;$E$3</formula>
    </cfRule>
    <cfRule type="cellIs" dxfId="10729" priority="315" operator="equal">
      <formula>0</formula>
    </cfRule>
    <cfRule type="expression" dxfId="10728" priority="316">
      <formula>$C32&gt;$E$3</formula>
    </cfRule>
  </conditionalFormatting>
  <conditionalFormatting sqref="K32:K36">
    <cfRule type="expression" dxfId="10727" priority="312">
      <formula>$C32&lt;$E$3</formula>
    </cfRule>
  </conditionalFormatting>
  <conditionalFormatting sqref="K32:K36">
    <cfRule type="expression" dxfId="10726" priority="308">
      <formula>$C32=$E$3</formula>
    </cfRule>
    <cfRule type="expression" dxfId="10725" priority="309">
      <formula>$C32&lt;$E$3</formula>
    </cfRule>
    <cfRule type="cellIs" dxfId="10724" priority="310" operator="equal">
      <formula>0</formula>
    </cfRule>
    <cfRule type="expression" dxfId="10723" priority="311">
      <formula>$C32&gt;$E$3</formula>
    </cfRule>
  </conditionalFormatting>
  <conditionalFormatting sqref="K32:K36">
    <cfRule type="expression" dxfId="10722" priority="307">
      <formula>$E32=""</formula>
    </cfRule>
  </conditionalFormatting>
  <conditionalFormatting sqref="K32:K36">
    <cfRule type="expression" dxfId="10721" priority="306">
      <formula>$C32&lt;$E$3</formula>
    </cfRule>
  </conditionalFormatting>
  <conditionalFormatting sqref="K32:K36">
    <cfRule type="expression" dxfId="10720" priority="305">
      <formula>$E32=""</formula>
    </cfRule>
  </conditionalFormatting>
  <conditionalFormatting sqref="K32:K36">
    <cfRule type="expression" dxfId="10719" priority="304">
      <formula>$E32=""</formula>
    </cfRule>
  </conditionalFormatting>
  <conditionalFormatting sqref="K32:K36">
    <cfRule type="expression" dxfId="10718" priority="303">
      <formula>$C32&lt;$E$3</formula>
    </cfRule>
  </conditionalFormatting>
  <conditionalFormatting sqref="K32:K36">
    <cfRule type="expression" dxfId="10717" priority="302">
      <formula>$E32=""</formula>
    </cfRule>
  </conditionalFormatting>
  <conditionalFormatting sqref="K32:K36">
    <cfRule type="expression" dxfId="10716" priority="301">
      <formula>$C32&lt;$E$3</formula>
    </cfRule>
  </conditionalFormatting>
  <conditionalFormatting sqref="K32:K36">
    <cfRule type="expression" dxfId="10715" priority="300">
      <formula>$E32=""</formula>
    </cfRule>
  </conditionalFormatting>
  <conditionalFormatting sqref="K32:K36">
    <cfRule type="expression" dxfId="10714" priority="299">
      <formula>$C32&lt;$E$3</formula>
    </cfRule>
  </conditionalFormatting>
  <conditionalFormatting sqref="K32:K36">
    <cfRule type="expression" dxfId="10713" priority="298">
      <formula>$E32=""</formula>
    </cfRule>
  </conditionalFormatting>
  <conditionalFormatting sqref="K32:K36">
    <cfRule type="expression" dxfId="10712" priority="297">
      <formula>$C32&lt;$E$3</formula>
    </cfRule>
  </conditionalFormatting>
  <conditionalFormatting sqref="K32:K36">
    <cfRule type="expression" dxfId="10711" priority="293">
      <formula>$C32=$E$3</formula>
    </cfRule>
    <cfRule type="expression" dxfId="10710" priority="294">
      <formula>$C32&lt;$E$3</formula>
    </cfRule>
    <cfRule type="cellIs" dxfId="10709" priority="295" operator="equal">
      <formula>0</formula>
    </cfRule>
    <cfRule type="expression" dxfId="10708" priority="296">
      <formula>$C32&gt;$E$3</formula>
    </cfRule>
  </conditionalFormatting>
  <conditionalFormatting sqref="K32:K36">
    <cfRule type="expression" dxfId="10707" priority="292">
      <formula>$C32&lt;$E$3</formula>
    </cfRule>
  </conditionalFormatting>
  <conditionalFormatting sqref="K32:K36">
    <cfRule type="expression" dxfId="10706" priority="288">
      <formula>$C32=$E$3</formula>
    </cfRule>
    <cfRule type="expression" dxfId="10705" priority="289">
      <formula>$C32&lt;$E$3</formula>
    </cfRule>
    <cfRule type="cellIs" dxfId="10704" priority="290" operator="equal">
      <formula>0</formula>
    </cfRule>
    <cfRule type="expression" dxfId="10703" priority="291">
      <formula>$C32&gt;$E$3</formula>
    </cfRule>
  </conditionalFormatting>
  <conditionalFormatting sqref="K32:K36">
    <cfRule type="expression" dxfId="10702" priority="287">
      <formula>$C32&lt;$E$3</formula>
    </cfRule>
  </conditionalFormatting>
  <conditionalFormatting sqref="K32:K36">
    <cfRule type="expression" dxfId="10701" priority="283">
      <formula>$C32=$E$3</formula>
    </cfRule>
    <cfRule type="expression" dxfId="10700" priority="284">
      <formula>$C32&lt;$E$3</formula>
    </cfRule>
    <cfRule type="cellIs" dxfId="10699" priority="285" operator="equal">
      <formula>0</formula>
    </cfRule>
    <cfRule type="expression" dxfId="10698" priority="286">
      <formula>$C32&gt;$E$3</formula>
    </cfRule>
  </conditionalFormatting>
  <conditionalFormatting sqref="K32:K36">
    <cfRule type="expression" dxfId="10697" priority="282">
      <formula>$C32&lt;$E$3</formula>
    </cfRule>
  </conditionalFormatting>
  <conditionalFormatting sqref="K32:K36">
    <cfRule type="expression" dxfId="10696" priority="278">
      <formula>$C32=$E$3</formula>
    </cfRule>
    <cfRule type="expression" dxfId="10695" priority="279">
      <formula>$C32&lt;$E$3</formula>
    </cfRule>
    <cfRule type="cellIs" dxfId="10694" priority="280" operator="equal">
      <formula>0</formula>
    </cfRule>
    <cfRule type="expression" dxfId="10693" priority="281">
      <formula>$C32&gt;$E$3</formula>
    </cfRule>
  </conditionalFormatting>
  <conditionalFormatting sqref="K32:K36">
    <cfRule type="expression" dxfId="10692" priority="277">
      <formula>$E32=""</formula>
    </cfRule>
  </conditionalFormatting>
  <conditionalFormatting sqref="K32:K36">
    <cfRule type="expression" dxfId="10691" priority="276">
      <formula>$C32&lt;$E$3</formula>
    </cfRule>
  </conditionalFormatting>
  <conditionalFormatting sqref="K32:K36">
    <cfRule type="expression" dxfId="10690" priority="275">
      <formula>$E32=""</formula>
    </cfRule>
  </conditionalFormatting>
  <conditionalFormatting sqref="K32:K36">
    <cfRule type="expression" dxfId="10689" priority="274">
      <formula>$E32=""</formula>
    </cfRule>
  </conditionalFormatting>
  <conditionalFormatting sqref="K32:K36">
    <cfRule type="expression" dxfId="10688" priority="273">
      <formula>$C32&lt;$E$3</formula>
    </cfRule>
  </conditionalFormatting>
  <conditionalFormatting sqref="K32:K36">
    <cfRule type="expression" dxfId="10687" priority="272">
      <formula>$E32=""</formula>
    </cfRule>
  </conditionalFormatting>
  <conditionalFormatting sqref="K32:K36">
    <cfRule type="expression" dxfId="10686" priority="271">
      <formula>$C32&lt;$E$3</formula>
    </cfRule>
  </conditionalFormatting>
  <conditionalFormatting sqref="K32:K36">
    <cfRule type="expression" dxfId="10685" priority="270">
      <formula>$E32=""</formula>
    </cfRule>
  </conditionalFormatting>
  <conditionalFormatting sqref="K32:K36">
    <cfRule type="expression" dxfId="10684" priority="269">
      <formula>$C32&lt;$E$3</formula>
    </cfRule>
  </conditionalFormatting>
  <conditionalFormatting sqref="K32:K36">
    <cfRule type="expression" dxfId="10683" priority="268">
      <formula>$E32=""</formula>
    </cfRule>
  </conditionalFormatting>
  <conditionalFormatting sqref="K32:K38">
    <cfRule type="expression" dxfId="10682" priority="266">
      <formula>$C32&lt;$E$3</formula>
    </cfRule>
  </conditionalFormatting>
  <conditionalFormatting sqref="K32:K38">
    <cfRule type="expression" dxfId="10681" priority="263">
      <formula>$C32=$E$3</formula>
    </cfRule>
    <cfRule type="expression" dxfId="10680" priority="264">
      <formula>$C32&lt;$E$3</formula>
    </cfRule>
    <cfRule type="cellIs" dxfId="10679" priority="265" operator="equal">
      <formula>0</formula>
    </cfRule>
    <cfRule type="expression" dxfId="10678" priority="267">
      <formula>$C32&gt;$E$3</formula>
    </cfRule>
  </conditionalFormatting>
  <conditionalFormatting sqref="K32:K38">
    <cfRule type="expression" dxfId="10677" priority="262">
      <formula>$E32=""</formula>
    </cfRule>
  </conditionalFormatting>
  <conditionalFormatting sqref="K32:K38">
    <cfRule type="expression" dxfId="10676" priority="261">
      <formula>$E32=""</formula>
    </cfRule>
  </conditionalFormatting>
  <conditionalFormatting sqref="K32:K38">
    <cfRule type="expression" dxfId="10675" priority="260">
      <formula>$E32=""</formula>
    </cfRule>
  </conditionalFormatting>
  <conditionalFormatting sqref="K34:K37">
    <cfRule type="cellIs" dxfId="10674" priority="259" stopIfTrue="1" operator="lessThan">
      <formula>0</formula>
    </cfRule>
  </conditionalFormatting>
  <conditionalFormatting sqref="K34:K37">
    <cfRule type="expression" dxfId="10673" priority="257">
      <formula>$C34&lt;$E$3</formula>
    </cfRule>
  </conditionalFormatting>
  <conditionalFormatting sqref="K34:K37">
    <cfRule type="expression" dxfId="10672" priority="254">
      <formula>$C34=$E$3</formula>
    </cfRule>
    <cfRule type="expression" dxfId="10671" priority="255">
      <formula>$C34&lt;$E$3</formula>
    </cfRule>
    <cfRule type="cellIs" dxfId="10670" priority="256" operator="equal">
      <formula>0</formula>
    </cfRule>
    <cfRule type="expression" dxfId="10669" priority="258">
      <formula>$C34&gt;$E$3</formula>
    </cfRule>
  </conditionalFormatting>
  <conditionalFormatting sqref="K34:K37">
    <cfRule type="expression" dxfId="10668" priority="253">
      <formula>$E34=""</formula>
    </cfRule>
  </conditionalFormatting>
  <conditionalFormatting sqref="K34:K37">
    <cfRule type="expression" dxfId="10667" priority="252">
      <formula>$E34=""</formula>
    </cfRule>
  </conditionalFormatting>
  <conditionalFormatting sqref="K34:K37">
    <cfRule type="expression" dxfId="10666" priority="251">
      <formula>$E34=""</formula>
    </cfRule>
  </conditionalFormatting>
  <conditionalFormatting sqref="K34:K37">
    <cfRule type="cellIs" dxfId="10665" priority="250" stopIfTrue="1" operator="lessThan">
      <formula>0</formula>
    </cfRule>
  </conditionalFormatting>
  <conditionalFormatting sqref="K34:K37">
    <cfRule type="cellIs" dxfId="10664" priority="249" stopIfTrue="1" operator="lessThan">
      <formula>0</formula>
    </cfRule>
  </conditionalFormatting>
  <conditionalFormatting sqref="K34:K37">
    <cfRule type="cellIs" dxfId="10663" priority="248" stopIfTrue="1" operator="lessThan">
      <formula>0</formula>
    </cfRule>
  </conditionalFormatting>
  <conditionalFormatting sqref="K35:K38">
    <cfRule type="cellIs" dxfId="10662" priority="247" stopIfTrue="1" operator="lessThan">
      <formula>0</formula>
    </cfRule>
  </conditionalFormatting>
  <conditionalFormatting sqref="K35:K38">
    <cfRule type="expression" dxfId="10661" priority="245">
      <formula>$C35&lt;$E$3</formula>
    </cfRule>
  </conditionalFormatting>
  <conditionalFormatting sqref="K35:K38">
    <cfRule type="expression" dxfId="10660" priority="242">
      <formula>$C35=$E$3</formula>
    </cfRule>
    <cfRule type="expression" dxfId="10659" priority="243">
      <formula>$C35&lt;$E$3</formula>
    </cfRule>
    <cfRule type="cellIs" dxfId="10658" priority="244" operator="equal">
      <formula>0</formula>
    </cfRule>
    <cfRule type="expression" dxfId="10657" priority="246">
      <formula>$C35&gt;$E$3</formula>
    </cfRule>
  </conditionalFormatting>
  <conditionalFormatting sqref="K35:K38">
    <cfRule type="expression" dxfId="10656" priority="241">
      <formula>$E35=""</formula>
    </cfRule>
  </conditionalFormatting>
  <conditionalFormatting sqref="K35:K38">
    <cfRule type="expression" dxfId="10655" priority="240">
      <formula>$E35=""</formula>
    </cfRule>
  </conditionalFormatting>
  <conditionalFormatting sqref="K35:K38">
    <cfRule type="expression" dxfId="10654" priority="239">
      <formula>$E35=""</formula>
    </cfRule>
  </conditionalFormatting>
  <conditionalFormatting sqref="K35:K38">
    <cfRule type="cellIs" dxfId="10653" priority="238" stopIfTrue="1" operator="lessThan">
      <formula>0</formula>
    </cfRule>
  </conditionalFormatting>
  <conditionalFormatting sqref="K35:K38">
    <cfRule type="cellIs" dxfId="10652" priority="237" stopIfTrue="1" operator="lessThan">
      <formula>0</formula>
    </cfRule>
  </conditionalFormatting>
  <conditionalFormatting sqref="K35:K38">
    <cfRule type="cellIs" dxfId="10651" priority="236" stopIfTrue="1" operator="lessThan">
      <formula>0</formula>
    </cfRule>
  </conditionalFormatting>
  <conditionalFormatting sqref="K41:K47">
    <cfRule type="cellIs" dxfId="10650" priority="235" stopIfTrue="1" operator="lessThan">
      <formula>0</formula>
    </cfRule>
  </conditionalFormatting>
  <conditionalFormatting sqref="K46">
    <cfRule type="expression" dxfId="10649" priority="234">
      <formula>$C46&lt;$E$3</formula>
    </cfRule>
  </conditionalFormatting>
  <conditionalFormatting sqref="K46">
    <cfRule type="expression" dxfId="10648" priority="230">
      <formula>$C46=$E$3</formula>
    </cfRule>
    <cfRule type="expression" dxfId="10647" priority="231">
      <formula>$C46&lt;$E$3</formula>
    </cfRule>
    <cfRule type="cellIs" dxfId="10646" priority="232" operator="equal">
      <formula>0</formula>
    </cfRule>
    <cfRule type="expression" dxfId="10645" priority="233">
      <formula>$C46&gt;$E$3</formula>
    </cfRule>
  </conditionalFormatting>
  <conditionalFormatting sqref="K46">
    <cfRule type="expression" dxfId="10644" priority="229">
      <formula>$C46&lt;$E$3</formula>
    </cfRule>
  </conditionalFormatting>
  <conditionalFormatting sqref="K46">
    <cfRule type="expression" dxfId="10643" priority="225">
      <formula>$C46=$E$3</formula>
    </cfRule>
    <cfRule type="expression" dxfId="10642" priority="226">
      <formula>$C46&lt;$E$3</formula>
    </cfRule>
    <cfRule type="cellIs" dxfId="10641" priority="227" operator="equal">
      <formula>0</formula>
    </cfRule>
    <cfRule type="expression" dxfId="10640" priority="228">
      <formula>$C46&gt;$E$3</formula>
    </cfRule>
  </conditionalFormatting>
  <conditionalFormatting sqref="K46">
    <cfRule type="expression" dxfId="10639" priority="224">
      <formula>$C46&lt;$E$3</formula>
    </cfRule>
  </conditionalFormatting>
  <conditionalFormatting sqref="K46">
    <cfRule type="expression" dxfId="10638" priority="220">
      <formula>$C46=$E$3</formula>
    </cfRule>
    <cfRule type="expression" dxfId="10637" priority="221">
      <formula>$C46&lt;$E$3</formula>
    </cfRule>
    <cfRule type="cellIs" dxfId="10636" priority="222" operator="equal">
      <formula>0</formula>
    </cfRule>
    <cfRule type="expression" dxfId="10635" priority="223">
      <formula>$C46&gt;$E$3</formula>
    </cfRule>
  </conditionalFormatting>
  <conditionalFormatting sqref="K46">
    <cfRule type="expression" dxfId="10634" priority="219">
      <formula>$C46&lt;$E$3</formula>
    </cfRule>
  </conditionalFormatting>
  <conditionalFormatting sqref="K46">
    <cfRule type="expression" dxfId="10633" priority="215">
      <formula>$C46=$E$3</formula>
    </cfRule>
    <cfRule type="expression" dxfId="10632" priority="216">
      <formula>$C46&lt;$E$3</formula>
    </cfRule>
    <cfRule type="cellIs" dxfId="10631" priority="217" operator="equal">
      <formula>0</formula>
    </cfRule>
    <cfRule type="expression" dxfId="10630" priority="218">
      <formula>$C46&gt;$E$3</formula>
    </cfRule>
  </conditionalFormatting>
  <conditionalFormatting sqref="K46">
    <cfRule type="expression" dxfId="10629" priority="214">
      <formula>$E46=""</formula>
    </cfRule>
  </conditionalFormatting>
  <conditionalFormatting sqref="K46">
    <cfRule type="expression" dxfId="10628" priority="213">
      <formula>$C46&lt;$E$3</formula>
    </cfRule>
  </conditionalFormatting>
  <conditionalFormatting sqref="K46">
    <cfRule type="expression" dxfId="10627" priority="212">
      <formula>$E46=""</formula>
    </cfRule>
  </conditionalFormatting>
  <conditionalFormatting sqref="K46">
    <cfRule type="expression" dxfId="10626" priority="211">
      <formula>$E46=""</formula>
    </cfRule>
  </conditionalFormatting>
  <conditionalFormatting sqref="K46">
    <cfRule type="expression" dxfId="10625" priority="210">
      <formula>$C46&lt;$E$3</formula>
    </cfRule>
  </conditionalFormatting>
  <conditionalFormatting sqref="K46">
    <cfRule type="expression" dxfId="10624" priority="209">
      <formula>$E46=""</formula>
    </cfRule>
  </conditionalFormatting>
  <conditionalFormatting sqref="K46">
    <cfRule type="expression" dxfId="10623" priority="208">
      <formula>$C46&lt;$E$3</formula>
    </cfRule>
  </conditionalFormatting>
  <conditionalFormatting sqref="K46">
    <cfRule type="expression" dxfId="10622" priority="207">
      <formula>$E46=""</formula>
    </cfRule>
  </conditionalFormatting>
  <conditionalFormatting sqref="K46">
    <cfRule type="expression" dxfId="10621" priority="206">
      <formula>$C46&lt;$E$3</formula>
    </cfRule>
  </conditionalFormatting>
  <conditionalFormatting sqref="K46">
    <cfRule type="expression" dxfId="10620" priority="205">
      <formula>$E46=""</formula>
    </cfRule>
  </conditionalFormatting>
  <conditionalFormatting sqref="K46">
    <cfRule type="expression" dxfId="10619" priority="204">
      <formula>$C46&lt;$E$3</formula>
    </cfRule>
  </conditionalFormatting>
  <conditionalFormatting sqref="K46">
    <cfRule type="expression" dxfId="10618" priority="200">
      <formula>$C46=$E$3</formula>
    </cfRule>
    <cfRule type="expression" dxfId="10617" priority="201">
      <formula>$C46&lt;$E$3</formula>
    </cfRule>
    <cfRule type="cellIs" dxfId="10616" priority="202" operator="equal">
      <formula>0</formula>
    </cfRule>
    <cfRule type="expression" dxfId="10615" priority="203">
      <formula>$C46&gt;$E$3</formula>
    </cfRule>
  </conditionalFormatting>
  <conditionalFormatting sqref="K46">
    <cfRule type="expression" dxfId="10614" priority="199">
      <formula>$C46&lt;$E$3</formula>
    </cfRule>
  </conditionalFormatting>
  <conditionalFormatting sqref="K46">
    <cfRule type="expression" dxfId="10613" priority="195">
      <formula>$C46=$E$3</formula>
    </cfRule>
    <cfRule type="expression" dxfId="10612" priority="196">
      <formula>$C46&lt;$E$3</formula>
    </cfRule>
    <cfRule type="cellIs" dxfId="10611" priority="197" operator="equal">
      <formula>0</formula>
    </cfRule>
    <cfRule type="expression" dxfId="10610" priority="198">
      <formula>$C46&gt;$E$3</formula>
    </cfRule>
  </conditionalFormatting>
  <conditionalFormatting sqref="K46">
    <cfRule type="expression" dxfId="10609" priority="194">
      <formula>$C46&lt;$E$3</formula>
    </cfRule>
  </conditionalFormatting>
  <conditionalFormatting sqref="K46">
    <cfRule type="expression" dxfId="10608" priority="190">
      <formula>$C46=$E$3</formula>
    </cfRule>
    <cfRule type="expression" dxfId="10607" priority="191">
      <formula>$C46&lt;$E$3</formula>
    </cfRule>
    <cfRule type="cellIs" dxfId="10606" priority="192" operator="equal">
      <formula>0</formula>
    </cfRule>
    <cfRule type="expression" dxfId="10605" priority="193">
      <formula>$C46&gt;$E$3</formula>
    </cfRule>
  </conditionalFormatting>
  <conditionalFormatting sqref="K46">
    <cfRule type="expression" dxfId="10604" priority="189">
      <formula>$C46&lt;$E$3</formula>
    </cfRule>
  </conditionalFormatting>
  <conditionalFormatting sqref="K46">
    <cfRule type="expression" dxfId="10603" priority="185">
      <formula>$C46=$E$3</formula>
    </cfRule>
    <cfRule type="expression" dxfId="10602" priority="186">
      <formula>$C46&lt;$E$3</formula>
    </cfRule>
    <cfRule type="cellIs" dxfId="10601" priority="187" operator="equal">
      <formula>0</formula>
    </cfRule>
    <cfRule type="expression" dxfId="10600" priority="188">
      <formula>$C46&gt;$E$3</formula>
    </cfRule>
  </conditionalFormatting>
  <conditionalFormatting sqref="K46">
    <cfRule type="expression" dxfId="10599" priority="184">
      <formula>$E46=""</formula>
    </cfRule>
  </conditionalFormatting>
  <conditionalFormatting sqref="K46">
    <cfRule type="expression" dxfId="10598" priority="183">
      <formula>$C46&lt;$E$3</formula>
    </cfRule>
  </conditionalFormatting>
  <conditionalFormatting sqref="K46">
    <cfRule type="expression" dxfId="10597" priority="182">
      <formula>$E46=""</formula>
    </cfRule>
  </conditionalFormatting>
  <conditionalFormatting sqref="K46">
    <cfRule type="expression" dxfId="10596" priority="181">
      <formula>$E46=""</formula>
    </cfRule>
  </conditionalFormatting>
  <conditionalFormatting sqref="K46">
    <cfRule type="expression" dxfId="10595" priority="180">
      <formula>$C46&lt;$E$3</formula>
    </cfRule>
  </conditionalFormatting>
  <conditionalFormatting sqref="K46">
    <cfRule type="expression" dxfId="10594" priority="179">
      <formula>$E46=""</formula>
    </cfRule>
  </conditionalFormatting>
  <conditionalFormatting sqref="K46">
    <cfRule type="expression" dxfId="10593" priority="178">
      <formula>$C46&lt;$E$3</formula>
    </cfRule>
  </conditionalFormatting>
  <conditionalFormatting sqref="K46">
    <cfRule type="expression" dxfId="10592" priority="177">
      <formula>$E46=""</formula>
    </cfRule>
  </conditionalFormatting>
  <conditionalFormatting sqref="K46">
    <cfRule type="expression" dxfId="10591" priority="176">
      <formula>$C46&lt;$E$3</formula>
    </cfRule>
  </conditionalFormatting>
  <conditionalFormatting sqref="K46">
    <cfRule type="expression" dxfId="10590" priority="175">
      <formula>$E46=""</formula>
    </cfRule>
  </conditionalFormatting>
  <conditionalFormatting sqref="K41:K45">
    <cfRule type="expression" dxfId="10589" priority="174">
      <formula>$C41&lt;$E$3</formula>
    </cfRule>
  </conditionalFormatting>
  <conditionalFormatting sqref="K41:K45">
    <cfRule type="expression" dxfId="10588" priority="170">
      <formula>$C41=$E$3</formula>
    </cfRule>
    <cfRule type="expression" dxfId="10587" priority="171">
      <formula>$C41&lt;$E$3</formula>
    </cfRule>
    <cfRule type="cellIs" dxfId="10586" priority="172" operator="equal">
      <formula>0</formula>
    </cfRule>
    <cfRule type="expression" dxfId="10585" priority="173">
      <formula>$C41&gt;$E$3</formula>
    </cfRule>
  </conditionalFormatting>
  <conditionalFormatting sqref="K41:K45">
    <cfRule type="expression" dxfId="10584" priority="169">
      <formula>$C41&lt;$E$3</formula>
    </cfRule>
  </conditionalFormatting>
  <conditionalFormatting sqref="K41:K45">
    <cfRule type="expression" dxfId="10583" priority="165">
      <formula>$C41=$E$3</formula>
    </cfRule>
    <cfRule type="expression" dxfId="10582" priority="166">
      <formula>$C41&lt;$E$3</formula>
    </cfRule>
    <cfRule type="cellIs" dxfId="10581" priority="167" operator="equal">
      <formula>0</formula>
    </cfRule>
    <cfRule type="expression" dxfId="10580" priority="168">
      <formula>$C41&gt;$E$3</formula>
    </cfRule>
  </conditionalFormatting>
  <conditionalFormatting sqref="K41:K45">
    <cfRule type="expression" dxfId="10579" priority="164">
      <formula>$C41&lt;$E$3</formula>
    </cfRule>
  </conditionalFormatting>
  <conditionalFormatting sqref="K41:K45">
    <cfRule type="expression" dxfId="10578" priority="160">
      <formula>$C41=$E$3</formula>
    </cfRule>
    <cfRule type="expression" dxfId="10577" priority="161">
      <formula>$C41&lt;$E$3</formula>
    </cfRule>
    <cfRule type="cellIs" dxfId="10576" priority="162" operator="equal">
      <formula>0</formula>
    </cfRule>
    <cfRule type="expression" dxfId="10575" priority="163">
      <formula>$C41&gt;$E$3</formula>
    </cfRule>
  </conditionalFormatting>
  <conditionalFormatting sqref="K41:K45">
    <cfRule type="expression" dxfId="10574" priority="159">
      <formula>$C41&lt;$E$3</formula>
    </cfRule>
  </conditionalFormatting>
  <conditionalFormatting sqref="K41:K45">
    <cfRule type="expression" dxfId="10573" priority="155">
      <formula>$C41=$E$3</formula>
    </cfRule>
    <cfRule type="expression" dxfId="10572" priority="156">
      <formula>$C41&lt;$E$3</formula>
    </cfRule>
    <cfRule type="cellIs" dxfId="10571" priority="157" operator="equal">
      <formula>0</formula>
    </cfRule>
    <cfRule type="expression" dxfId="10570" priority="158">
      <formula>$C41&gt;$E$3</formula>
    </cfRule>
  </conditionalFormatting>
  <conditionalFormatting sqref="K41:K45">
    <cfRule type="expression" dxfId="10569" priority="154">
      <formula>$E41=""</formula>
    </cfRule>
  </conditionalFormatting>
  <conditionalFormatting sqref="K41:K45">
    <cfRule type="expression" dxfId="10568" priority="153">
      <formula>$C41&lt;$E$3</formula>
    </cfRule>
  </conditionalFormatting>
  <conditionalFormatting sqref="K41:K45">
    <cfRule type="expression" dxfId="10567" priority="152">
      <formula>$E41=""</formula>
    </cfRule>
  </conditionalFormatting>
  <conditionalFormatting sqref="K41:K45">
    <cfRule type="expression" dxfId="10566" priority="151">
      <formula>$E41=""</formula>
    </cfRule>
  </conditionalFormatting>
  <conditionalFormatting sqref="K41:K45">
    <cfRule type="expression" dxfId="10565" priority="150">
      <formula>$C41&lt;$E$3</formula>
    </cfRule>
  </conditionalFormatting>
  <conditionalFormatting sqref="K41:K45">
    <cfRule type="expression" dxfId="10564" priority="149">
      <formula>$E41=""</formula>
    </cfRule>
  </conditionalFormatting>
  <conditionalFormatting sqref="K41:K45">
    <cfRule type="expression" dxfId="10563" priority="148">
      <formula>$C41&lt;$E$3</formula>
    </cfRule>
  </conditionalFormatting>
  <conditionalFormatting sqref="K41:K45">
    <cfRule type="expression" dxfId="10562" priority="147">
      <formula>$E41=""</formula>
    </cfRule>
  </conditionalFormatting>
  <conditionalFormatting sqref="K41:K45">
    <cfRule type="expression" dxfId="10561" priority="146">
      <formula>$C41&lt;$E$3</formula>
    </cfRule>
  </conditionalFormatting>
  <conditionalFormatting sqref="K41:K45">
    <cfRule type="expression" dxfId="10560" priority="145">
      <formula>$E41=""</formula>
    </cfRule>
  </conditionalFormatting>
  <conditionalFormatting sqref="K41:K45">
    <cfRule type="expression" dxfId="10559" priority="144">
      <formula>$C41&lt;$E$3</formula>
    </cfRule>
  </conditionalFormatting>
  <conditionalFormatting sqref="K41:K45">
    <cfRule type="expression" dxfId="10558" priority="140">
      <formula>$C41=$E$3</formula>
    </cfRule>
    <cfRule type="expression" dxfId="10557" priority="141">
      <formula>$C41&lt;$E$3</formula>
    </cfRule>
    <cfRule type="cellIs" dxfId="10556" priority="142" operator="equal">
      <formula>0</formula>
    </cfRule>
    <cfRule type="expression" dxfId="10555" priority="143">
      <formula>$C41&gt;$E$3</formula>
    </cfRule>
  </conditionalFormatting>
  <conditionalFormatting sqref="K41:K45">
    <cfRule type="expression" dxfId="10554" priority="139">
      <formula>$C41&lt;$E$3</formula>
    </cfRule>
  </conditionalFormatting>
  <conditionalFormatting sqref="K41:K45">
    <cfRule type="expression" dxfId="10553" priority="135">
      <formula>$C41=$E$3</formula>
    </cfRule>
    <cfRule type="expression" dxfId="10552" priority="136">
      <formula>$C41&lt;$E$3</formula>
    </cfRule>
    <cfRule type="cellIs" dxfId="10551" priority="137" operator="equal">
      <formula>0</formula>
    </cfRule>
    <cfRule type="expression" dxfId="10550" priority="138">
      <formula>$C41&gt;$E$3</formula>
    </cfRule>
  </conditionalFormatting>
  <conditionalFormatting sqref="K41:K45">
    <cfRule type="expression" dxfId="10549" priority="134">
      <formula>$C41&lt;$E$3</formula>
    </cfRule>
  </conditionalFormatting>
  <conditionalFormatting sqref="K41:K45">
    <cfRule type="expression" dxfId="10548" priority="130">
      <formula>$C41=$E$3</formula>
    </cfRule>
    <cfRule type="expression" dxfId="10547" priority="131">
      <formula>$C41&lt;$E$3</formula>
    </cfRule>
    <cfRule type="cellIs" dxfId="10546" priority="132" operator="equal">
      <formula>0</formula>
    </cfRule>
    <cfRule type="expression" dxfId="10545" priority="133">
      <formula>$C41&gt;$E$3</formula>
    </cfRule>
  </conditionalFormatting>
  <conditionalFormatting sqref="K41:K45">
    <cfRule type="expression" dxfId="10544" priority="129">
      <formula>$C41&lt;$E$3</formula>
    </cfRule>
  </conditionalFormatting>
  <conditionalFormatting sqref="K41:K45">
    <cfRule type="expression" dxfId="10543" priority="125">
      <formula>$C41=$E$3</formula>
    </cfRule>
    <cfRule type="expression" dxfId="10542" priority="126">
      <formula>$C41&lt;$E$3</formula>
    </cfRule>
    <cfRule type="cellIs" dxfId="10541" priority="127" operator="equal">
      <formula>0</formula>
    </cfRule>
    <cfRule type="expression" dxfId="10540" priority="128">
      <formula>$C41&gt;$E$3</formula>
    </cfRule>
  </conditionalFormatting>
  <conditionalFormatting sqref="K41:K45">
    <cfRule type="expression" dxfId="10539" priority="124">
      <formula>$E41=""</formula>
    </cfRule>
  </conditionalFormatting>
  <conditionalFormatting sqref="K41:K45">
    <cfRule type="expression" dxfId="10538" priority="123">
      <formula>$C41&lt;$E$3</formula>
    </cfRule>
  </conditionalFormatting>
  <conditionalFormatting sqref="K41:K45">
    <cfRule type="expression" dxfId="10537" priority="122">
      <formula>$E41=""</formula>
    </cfRule>
  </conditionalFormatting>
  <conditionalFormatting sqref="K41:K45">
    <cfRule type="expression" dxfId="10536" priority="121">
      <formula>$E41=""</formula>
    </cfRule>
  </conditionalFormatting>
  <conditionalFormatting sqref="K41:K45">
    <cfRule type="expression" dxfId="10535" priority="120">
      <formula>$C41&lt;$E$3</formula>
    </cfRule>
  </conditionalFormatting>
  <conditionalFormatting sqref="K41:K45">
    <cfRule type="expression" dxfId="10534" priority="119">
      <formula>$E41=""</formula>
    </cfRule>
  </conditionalFormatting>
  <conditionalFormatting sqref="K41:K45">
    <cfRule type="expression" dxfId="10533" priority="118">
      <formula>$C41&lt;$E$3</formula>
    </cfRule>
  </conditionalFormatting>
  <conditionalFormatting sqref="K41:K45">
    <cfRule type="expression" dxfId="10532" priority="117">
      <formula>$E41=""</formula>
    </cfRule>
  </conditionalFormatting>
  <conditionalFormatting sqref="K41:K45">
    <cfRule type="expression" dxfId="10531" priority="116">
      <formula>$C41&lt;$E$3</formula>
    </cfRule>
  </conditionalFormatting>
  <conditionalFormatting sqref="K41:K45">
    <cfRule type="expression" dxfId="10530" priority="115">
      <formula>$E41=""</formula>
    </cfRule>
  </conditionalFormatting>
  <conditionalFormatting sqref="K41:K47">
    <cfRule type="expression" dxfId="10529" priority="113">
      <formula>$C41&lt;$E$3</formula>
    </cfRule>
  </conditionalFormatting>
  <conditionalFormatting sqref="K41:K47">
    <cfRule type="expression" dxfId="10528" priority="110">
      <formula>$C41=$E$3</formula>
    </cfRule>
    <cfRule type="expression" dxfId="10527" priority="111">
      <formula>$C41&lt;$E$3</formula>
    </cfRule>
    <cfRule type="cellIs" dxfId="10526" priority="112" operator="equal">
      <formula>0</formula>
    </cfRule>
    <cfRule type="expression" dxfId="10525" priority="114">
      <formula>$C41&gt;$E$3</formula>
    </cfRule>
  </conditionalFormatting>
  <conditionalFormatting sqref="K41:K47">
    <cfRule type="expression" dxfId="10524" priority="109">
      <formula>$E41=""</formula>
    </cfRule>
  </conditionalFormatting>
  <conditionalFormatting sqref="K41:K47">
    <cfRule type="expression" dxfId="10523" priority="108">
      <formula>$E41=""</formula>
    </cfRule>
  </conditionalFormatting>
  <conditionalFormatting sqref="K41:K47">
    <cfRule type="expression" dxfId="10522" priority="107">
      <formula>$E41=""</formula>
    </cfRule>
  </conditionalFormatting>
  <conditionalFormatting sqref="K43:K46">
    <cfRule type="cellIs" dxfId="10521" priority="106" stopIfTrue="1" operator="lessThan">
      <formula>0</formula>
    </cfRule>
  </conditionalFormatting>
  <conditionalFormatting sqref="K43:K46">
    <cfRule type="expression" dxfId="10520" priority="104">
      <formula>$C43&lt;$E$3</formula>
    </cfRule>
  </conditionalFormatting>
  <conditionalFormatting sqref="K43:K46">
    <cfRule type="expression" dxfId="10519" priority="101">
      <formula>$C43=$E$3</formula>
    </cfRule>
    <cfRule type="expression" dxfId="10518" priority="102">
      <formula>$C43&lt;$E$3</formula>
    </cfRule>
    <cfRule type="cellIs" dxfId="10517" priority="103" operator="equal">
      <formula>0</formula>
    </cfRule>
    <cfRule type="expression" dxfId="10516" priority="105">
      <formula>$C43&gt;$E$3</formula>
    </cfRule>
  </conditionalFormatting>
  <conditionalFormatting sqref="K43:K46">
    <cfRule type="expression" dxfId="10515" priority="100">
      <formula>$E43=""</formula>
    </cfRule>
  </conditionalFormatting>
  <conditionalFormatting sqref="K43:K46">
    <cfRule type="expression" dxfId="10514" priority="99">
      <formula>$E43=""</formula>
    </cfRule>
  </conditionalFormatting>
  <conditionalFormatting sqref="K43:K46">
    <cfRule type="expression" dxfId="10513" priority="98">
      <formula>$E43=""</formula>
    </cfRule>
  </conditionalFormatting>
  <conditionalFormatting sqref="K43:K46">
    <cfRule type="cellIs" dxfId="10512" priority="97" stopIfTrue="1" operator="lessThan">
      <formula>0</formula>
    </cfRule>
  </conditionalFormatting>
  <conditionalFormatting sqref="K43:K46">
    <cfRule type="cellIs" dxfId="10511" priority="96" stopIfTrue="1" operator="lessThan">
      <formula>0</formula>
    </cfRule>
  </conditionalFormatting>
  <conditionalFormatting sqref="K43:K46">
    <cfRule type="cellIs" dxfId="10510" priority="95" stopIfTrue="1" operator="lessThan">
      <formula>0</formula>
    </cfRule>
  </conditionalFormatting>
  <conditionalFormatting sqref="K44:K47">
    <cfRule type="cellIs" dxfId="10509" priority="94" stopIfTrue="1" operator="lessThan">
      <formula>0</formula>
    </cfRule>
  </conditionalFormatting>
  <conditionalFormatting sqref="K44:K47">
    <cfRule type="expression" dxfId="10508" priority="92">
      <formula>$C44&lt;$E$3</formula>
    </cfRule>
  </conditionalFormatting>
  <conditionalFormatting sqref="K44:K47">
    <cfRule type="expression" dxfId="10507" priority="89">
      <formula>$C44=$E$3</formula>
    </cfRule>
    <cfRule type="expression" dxfId="10506" priority="90">
      <formula>$C44&lt;$E$3</formula>
    </cfRule>
    <cfRule type="cellIs" dxfId="10505" priority="91" operator="equal">
      <formula>0</formula>
    </cfRule>
    <cfRule type="expression" dxfId="10504" priority="93">
      <formula>$C44&gt;$E$3</formula>
    </cfRule>
  </conditionalFormatting>
  <conditionalFormatting sqref="K44:K47">
    <cfRule type="expression" dxfId="10503" priority="88">
      <formula>$E44=""</formula>
    </cfRule>
  </conditionalFormatting>
  <conditionalFormatting sqref="K44:K47">
    <cfRule type="expression" dxfId="10502" priority="87">
      <formula>$E44=""</formula>
    </cfRule>
  </conditionalFormatting>
  <conditionalFormatting sqref="K44:K47">
    <cfRule type="expression" dxfId="10501" priority="86">
      <formula>$E44=""</formula>
    </cfRule>
  </conditionalFormatting>
  <conditionalFormatting sqref="K44:K47">
    <cfRule type="cellIs" dxfId="10500" priority="85" stopIfTrue="1" operator="lessThan">
      <formula>0</formula>
    </cfRule>
  </conditionalFormatting>
  <conditionalFormatting sqref="K44:K47">
    <cfRule type="cellIs" dxfId="10499" priority="84" stopIfTrue="1" operator="lessThan">
      <formula>0</formula>
    </cfRule>
  </conditionalFormatting>
  <conditionalFormatting sqref="K44:K47">
    <cfRule type="cellIs" dxfId="10498" priority="83" stopIfTrue="1" operator="lessThan">
      <formula>0</formula>
    </cfRule>
  </conditionalFormatting>
  <conditionalFormatting sqref="K50:K51">
    <cfRule type="cellIs" dxfId="10497" priority="82" stopIfTrue="1" operator="lessThan">
      <formula>0</formula>
    </cfRule>
  </conditionalFormatting>
  <conditionalFormatting sqref="K50:K51">
    <cfRule type="expression" dxfId="10496" priority="80">
      <formula>$C50&lt;$E$3</formula>
    </cfRule>
  </conditionalFormatting>
  <conditionalFormatting sqref="K50:K51">
    <cfRule type="expression" dxfId="10495" priority="77">
      <formula>$C50=$E$3</formula>
    </cfRule>
    <cfRule type="expression" dxfId="10494" priority="78">
      <formula>$C50&lt;$E$3</formula>
    </cfRule>
    <cfRule type="cellIs" dxfId="10493" priority="79" operator="equal">
      <formula>0</formula>
    </cfRule>
    <cfRule type="expression" dxfId="10492" priority="81">
      <formula>$C50&gt;$E$3</formula>
    </cfRule>
  </conditionalFormatting>
  <conditionalFormatting sqref="K50:K51">
    <cfRule type="expression" dxfId="10491" priority="76">
      <formula>$E50=""</formula>
    </cfRule>
  </conditionalFormatting>
  <conditionalFormatting sqref="K50:K51">
    <cfRule type="expression" dxfId="10490" priority="75">
      <formula>$E50=""</formula>
    </cfRule>
  </conditionalFormatting>
  <conditionalFormatting sqref="K50:K51">
    <cfRule type="expression" dxfId="10489" priority="74">
      <formula>$E50=""</formula>
    </cfRule>
  </conditionalFormatting>
  <conditionalFormatting sqref="K50:K51">
    <cfRule type="cellIs" dxfId="10488" priority="73" stopIfTrue="1" operator="lessThan">
      <formula>0</formula>
    </cfRule>
  </conditionalFormatting>
  <conditionalFormatting sqref="K50:K51">
    <cfRule type="cellIs" dxfId="10487" priority="72" stopIfTrue="1" operator="lessThan">
      <formula>0</formula>
    </cfRule>
  </conditionalFormatting>
  <conditionalFormatting sqref="K50:K51">
    <cfRule type="cellIs" dxfId="10486" priority="71" stopIfTrue="1" operator="lessThan">
      <formula>0</formula>
    </cfRule>
  </conditionalFormatting>
  <conditionalFormatting sqref="K50:K51">
    <cfRule type="cellIs" dxfId="10485" priority="70" stopIfTrue="1" operator="lessThan">
      <formula>0</formula>
    </cfRule>
  </conditionalFormatting>
  <conditionalFormatting sqref="K50:K51">
    <cfRule type="expression" dxfId="10484" priority="69">
      <formula>$C50&lt;$E$3</formula>
    </cfRule>
  </conditionalFormatting>
  <conditionalFormatting sqref="K50:K51">
    <cfRule type="expression" dxfId="10483" priority="65">
      <formula>$C50=$E$3</formula>
    </cfRule>
    <cfRule type="expression" dxfId="10482" priority="66">
      <formula>$C50&lt;$E$3</formula>
    </cfRule>
    <cfRule type="cellIs" dxfId="10481" priority="67" operator="equal">
      <formula>0</formula>
    </cfRule>
    <cfRule type="expression" dxfId="10480" priority="68">
      <formula>$C50&gt;$E$3</formula>
    </cfRule>
  </conditionalFormatting>
  <conditionalFormatting sqref="K50:K51">
    <cfRule type="expression" dxfId="10479" priority="64">
      <formula>$C50&lt;$E$3</formula>
    </cfRule>
  </conditionalFormatting>
  <conditionalFormatting sqref="K50:K51">
    <cfRule type="expression" dxfId="10478" priority="60">
      <formula>$C50=$E$3</formula>
    </cfRule>
    <cfRule type="expression" dxfId="10477" priority="61">
      <formula>$C50&lt;$E$3</formula>
    </cfRule>
    <cfRule type="cellIs" dxfId="10476" priority="62" operator="equal">
      <formula>0</formula>
    </cfRule>
    <cfRule type="expression" dxfId="10475" priority="63">
      <formula>$C50&gt;$E$3</formula>
    </cfRule>
  </conditionalFormatting>
  <conditionalFormatting sqref="K50:K51">
    <cfRule type="expression" dxfId="10474" priority="59">
      <formula>$C50&lt;$E$3</formula>
    </cfRule>
  </conditionalFormatting>
  <conditionalFormatting sqref="K50:K51">
    <cfRule type="expression" dxfId="10473" priority="55">
      <formula>$C50=$E$3</formula>
    </cfRule>
    <cfRule type="expression" dxfId="10472" priority="56">
      <formula>$C50&lt;$E$3</formula>
    </cfRule>
    <cfRule type="cellIs" dxfId="10471" priority="57" operator="equal">
      <formula>0</formula>
    </cfRule>
    <cfRule type="expression" dxfId="10470" priority="58">
      <formula>$C50&gt;$E$3</formula>
    </cfRule>
  </conditionalFormatting>
  <conditionalFormatting sqref="K50:K51">
    <cfRule type="expression" dxfId="10469" priority="54">
      <formula>$C50&lt;$E$3</formula>
    </cfRule>
  </conditionalFormatting>
  <conditionalFormatting sqref="K50:K51">
    <cfRule type="expression" dxfId="10468" priority="50">
      <formula>$C50=$E$3</formula>
    </cfRule>
    <cfRule type="expression" dxfId="10467" priority="51">
      <formula>$C50&lt;$E$3</formula>
    </cfRule>
    <cfRule type="cellIs" dxfId="10466" priority="52" operator="equal">
      <formula>0</formula>
    </cfRule>
    <cfRule type="expression" dxfId="10465" priority="53">
      <formula>$C50&gt;$E$3</formula>
    </cfRule>
  </conditionalFormatting>
  <conditionalFormatting sqref="K50:K51">
    <cfRule type="expression" dxfId="10464" priority="49">
      <formula>$E50=""</formula>
    </cfRule>
  </conditionalFormatting>
  <conditionalFormatting sqref="K50:K51">
    <cfRule type="expression" dxfId="10463" priority="48">
      <formula>$C50&lt;$E$3</formula>
    </cfRule>
  </conditionalFormatting>
  <conditionalFormatting sqref="K50:K51">
    <cfRule type="expression" dxfId="10462" priority="47">
      <formula>$E50=""</formula>
    </cfRule>
  </conditionalFormatting>
  <conditionalFormatting sqref="K50:K51">
    <cfRule type="expression" dxfId="10461" priority="46">
      <formula>$E50=""</formula>
    </cfRule>
  </conditionalFormatting>
  <conditionalFormatting sqref="K50:K51">
    <cfRule type="expression" dxfId="10460" priority="45">
      <formula>$C50&lt;$E$3</formula>
    </cfRule>
  </conditionalFormatting>
  <conditionalFormatting sqref="K50:K51">
    <cfRule type="expression" dxfId="10459" priority="44">
      <formula>$E50=""</formula>
    </cfRule>
  </conditionalFormatting>
  <conditionalFormatting sqref="K50:K51">
    <cfRule type="expression" dxfId="10458" priority="43">
      <formula>$C50&lt;$E$3</formula>
    </cfRule>
  </conditionalFormatting>
  <conditionalFormatting sqref="K50:K51">
    <cfRule type="expression" dxfId="10457" priority="42">
      <formula>$E50=""</formula>
    </cfRule>
  </conditionalFormatting>
  <conditionalFormatting sqref="K50:K51">
    <cfRule type="expression" dxfId="10456" priority="41">
      <formula>$C50&lt;$E$3</formula>
    </cfRule>
  </conditionalFormatting>
  <conditionalFormatting sqref="K50:K51">
    <cfRule type="expression" dxfId="10455" priority="40">
      <formula>$E50=""</formula>
    </cfRule>
  </conditionalFormatting>
  <conditionalFormatting sqref="K50:K51">
    <cfRule type="expression" dxfId="10454" priority="39">
      <formula>$C50&lt;$E$3</formula>
    </cfRule>
  </conditionalFormatting>
  <conditionalFormatting sqref="K50:K51">
    <cfRule type="expression" dxfId="10453" priority="35">
      <formula>$C50=$E$3</formula>
    </cfRule>
    <cfRule type="expression" dxfId="10452" priority="36">
      <formula>$C50&lt;$E$3</formula>
    </cfRule>
    <cfRule type="cellIs" dxfId="10451" priority="37" operator="equal">
      <formula>0</formula>
    </cfRule>
    <cfRule type="expression" dxfId="10450" priority="38">
      <formula>$C50&gt;$E$3</formula>
    </cfRule>
  </conditionalFormatting>
  <conditionalFormatting sqref="K50:K51">
    <cfRule type="expression" dxfId="10449" priority="34">
      <formula>$C50&lt;$E$3</formula>
    </cfRule>
  </conditionalFormatting>
  <conditionalFormatting sqref="K50:K51">
    <cfRule type="expression" dxfId="10448" priority="30">
      <formula>$C50=$E$3</formula>
    </cfRule>
    <cfRule type="expression" dxfId="10447" priority="31">
      <formula>$C50&lt;$E$3</formula>
    </cfRule>
    <cfRule type="cellIs" dxfId="10446" priority="32" operator="equal">
      <formula>0</formula>
    </cfRule>
    <cfRule type="expression" dxfId="10445" priority="33">
      <formula>$C50&gt;$E$3</formula>
    </cfRule>
  </conditionalFormatting>
  <conditionalFormatting sqref="K50:K51">
    <cfRule type="expression" dxfId="10444" priority="29">
      <formula>$C50&lt;$E$3</formula>
    </cfRule>
  </conditionalFormatting>
  <conditionalFormatting sqref="K50:K51">
    <cfRule type="expression" dxfId="10443" priority="25">
      <formula>$C50=$E$3</formula>
    </cfRule>
    <cfRule type="expression" dxfId="10442" priority="26">
      <formula>$C50&lt;$E$3</formula>
    </cfRule>
    <cfRule type="cellIs" dxfId="10441" priority="27" operator="equal">
      <formula>0</formula>
    </cfRule>
    <cfRule type="expression" dxfId="10440" priority="28">
      <formula>$C50&gt;$E$3</formula>
    </cfRule>
  </conditionalFormatting>
  <conditionalFormatting sqref="K50:K51">
    <cfRule type="expression" dxfId="10439" priority="24">
      <formula>$C50&lt;$E$3</formula>
    </cfRule>
  </conditionalFormatting>
  <conditionalFormatting sqref="K50:K51">
    <cfRule type="expression" dxfId="10438" priority="20">
      <formula>$C50=$E$3</formula>
    </cfRule>
    <cfRule type="expression" dxfId="10437" priority="21">
      <formula>$C50&lt;$E$3</formula>
    </cfRule>
    <cfRule type="cellIs" dxfId="10436" priority="22" operator="equal">
      <formula>0</formula>
    </cfRule>
    <cfRule type="expression" dxfId="10435" priority="23">
      <formula>$C50&gt;$E$3</formula>
    </cfRule>
  </conditionalFormatting>
  <conditionalFormatting sqref="K50:K51">
    <cfRule type="expression" dxfId="10434" priority="19">
      <formula>$E50=""</formula>
    </cfRule>
  </conditionalFormatting>
  <conditionalFormatting sqref="K50:K51">
    <cfRule type="expression" dxfId="10433" priority="18">
      <formula>$C50&lt;$E$3</formula>
    </cfRule>
  </conditionalFormatting>
  <conditionalFormatting sqref="K50:K51">
    <cfRule type="expression" dxfId="10432" priority="17">
      <formula>$E50=""</formula>
    </cfRule>
  </conditionalFormatting>
  <conditionalFormatting sqref="K50:K51">
    <cfRule type="expression" dxfId="10431" priority="16">
      <formula>$E50=""</formula>
    </cfRule>
  </conditionalFormatting>
  <conditionalFormatting sqref="K50:K51">
    <cfRule type="expression" dxfId="10430" priority="15">
      <formula>$C50&lt;$E$3</formula>
    </cfRule>
  </conditionalFormatting>
  <conditionalFormatting sqref="K50:K51">
    <cfRule type="expression" dxfId="10429" priority="14">
      <formula>$E50=""</formula>
    </cfRule>
  </conditionalFormatting>
  <conditionalFormatting sqref="K50:K51">
    <cfRule type="expression" dxfId="10428" priority="13">
      <formula>$C50&lt;$E$3</formula>
    </cfRule>
  </conditionalFormatting>
  <conditionalFormatting sqref="K50:K51">
    <cfRule type="expression" dxfId="10427" priority="12">
      <formula>$E50=""</formula>
    </cfRule>
  </conditionalFormatting>
  <conditionalFormatting sqref="K50:K51">
    <cfRule type="expression" dxfId="10426" priority="11">
      <formula>$C50&lt;$E$3</formula>
    </cfRule>
  </conditionalFormatting>
  <conditionalFormatting sqref="K50:K51">
    <cfRule type="expression" dxfId="10425" priority="10">
      <formula>$E50=""</formula>
    </cfRule>
  </conditionalFormatting>
  <conditionalFormatting sqref="K50:K51">
    <cfRule type="expression" dxfId="10424" priority="8">
      <formula>$C50&lt;$E$3</formula>
    </cfRule>
  </conditionalFormatting>
  <conditionalFormatting sqref="K50:K51">
    <cfRule type="expression" dxfId="10423" priority="5">
      <formula>$C50=$E$3</formula>
    </cfRule>
    <cfRule type="expression" dxfId="10422" priority="6">
      <formula>$C50&lt;$E$3</formula>
    </cfRule>
    <cfRule type="cellIs" dxfId="10421" priority="7" operator="equal">
      <formula>0</formula>
    </cfRule>
    <cfRule type="expression" dxfId="10420" priority="9">
      <formula>$C50&gt;$E$3</formula>
    </cfRule>
  </conditionalFormatting>
  <conditionalFormatting sqref="K50:K51">
    <cfRule type="expression" dxfId="10419" priority="4">
      <formula>$E50=""</formula>
    </cfRule>
  </conditionalFormatting>
  <conditionalFormatting sqref="K50:K51">
    <cfRule type="expression" dxfId="10418" priority="3">
      <formula>$E50=""</formula>
    </cfRule>
  </conditionalFormatting>
  <conditionalFormatting sqref="K50:K51">
    <cfRule type="expression" dxfId="10417" priority="2">
      <formula>$E50=""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BB66"/>
  <sheetViews>
    <sheetView zoomScale="75" zoomScaleNormal="75" zoomScalePageLayoutView="75" workbookViewId="0">
      <pane ySplit="4" topLeftCell="A5" activePane="bottomLeft" state="frozen"/>
      <selection pane="bottomLeft" activeCell="H11" sqref="H11"/>
    </sheetView>
  </sheetViews>
  <sheetFormatPr baseColWidth="10" defaultColWidth="8.83203125" defaultRowHeight="15" x14ac:dyDescent="0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.1640625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.25" customHeight="1" thickBot="1">
      <c r="A1" s="52">
        <v>4</v>
      </c>
      <c r="B1" s="50" t="s">
        <v>0</v>
      </c>
      <c r="C1" s="51" t="s">
        <v>0</v>
      </c>
      <c r="D1" s="51"/>
      <c r="E1" s="363" t="str">
        <f>VLOOKUP(A1,'MY STATS'!$B$29:$E$40,4)</f>
        <v>Apr.</v>
      </c>
      <c r="F1" s="141" t="s">
        <v>78</v>
      </c>
      <c r="G1" s="142" t="s">
        <v>77</v>
      </c>
      <c r="H1" s="143" t="s">
        <v>79</v>
      </c>
      <c r="I1" s="144"/>
      <c r="J1" s="144" t="s">
        <v>113</v>
      </c>
      <c r="K1" s="127" t="s">
        <v>109</v>
      </c>
      <c r="L1" s="142" t="s">
        <v>114</v>
      </c>
      <c r="M1" s="127" t="s">
        <v>110</v>
      </c>
      <c r="N1" s="321" t="s">
        <v>59</v>
      </c>
      <c r="O1" s="244" t="s">
        <v>31</v>
      </c>
      <c r="P1" s="250" t="s">
        <v>32</v>
      </c>
      <c r="Q1" s="250" t="s">
        <v>32</v>
      </c>
      <c r="R1" s="343" t="s">
        <v>38</v>
      </c>
      <c r="S1" s="364" t="s">
        <v>149</v>
      </c>
      <c r="T1" s="343"/>
      <c r="U1" s="343"/>
      <c r="V1" s="343" t="s">
        <v>107</v>
      </c>
      <c r="W1" s="343" t="s">
        <v>108</v>
      </c>
      <c r="X1" s="250" t="s">
        <v>30</v>
      </c>
      <c r="Y1" s="250" t="s">
        <v>27</v>
      </c>
      <c r="Z1" s="250" t="s">
        <v>28</v>
      </c>
      <c r="AA1" s="344" t="s">
        <v>29</v>
      </c>
      <c r="AB1" s="230"/>
      <c r="AC1" s="230"/>
      <c r="AD1" s="97"/>
      <c r="AE1" s="97"/>
    </row>
    <row r="2" spans="1:34" ht="32" hidden="1" thickTop="1" thickBot="1">
      <c r="A2" s="95" t="s">
        <v>75</v>
      </c>
      <c r="B2" s="25">
        <f>VLOOKUP(A1,'MY STATS'!$B$29:$G$40,3)</f>
        <v>43191</v>
      </c>
      <c r="D2" s="45"/>
      <c r="E2" s="2" t="s">
        <v>19</v>
      </c>
      <c r="F2" s="95" t="s">
        <v>74</v>
      </c>
      <c r="G2" s="93" t="s">
        <v>61</v>
      </c>
      <c r="H2" s="64" t="s">
        <v>60</v>
      </c>
      <c r="I2" s="64"/>
      <c r="J2" s="64"/>
      <c r="K2" s="64"/>
      <c r="L2" s="64"/>
      <c r="M2" s="64"/>
      <c r="N2" s="322"/>
      <c r="O2" s="345"/>
      <c r="P2" s="230"/>
      <c r="Q2" s="230"/>
      <c r="R2" s="346">
        <f>'MY STATS'!A15</f>
        <v>1</v>
      </c>
      <c r="S2" s="346"/>
      <c r="T2" s="346"/>
      <c r="U2" s="346"/>
      <c r="V2" s="346"/>
      <c r="W2" s="346"/>
      <c r="X2" s="230"/>
      <c r="Y2" s="230"/>
      <c r="Z2" s="234"/>
      <c r="AA2" s="234"/>
      <c r="AB2" s="230"/>
      <c r="AC2" s="230"/>
      <c r="AD2" s="97"/>
      <c r="AE2" s="97"/>
    </row>
    <row r="3" spans="1:34" ht="17" hidden="1" thickTop="1" thickBot="1">
      <c r="A3" s="96">
        <f>'MY STATS'!D41</f>
        <v>43466</v>
      </c>
      <c r="B3" s="25">
        <f>VLOOKUP(A1+1,'MY STATS'!$B$29:$G$41,3)-1</f>
        <v>43220</v>
      </c>
      <c r="C3" s="25">
        <f>VLOOKUP(A1,'MY STATS'!$B$29:$G$40,2)</f>
        <v>43185</v>
      </c>
      <c r="D3" s="46"/>
      <c r="E3" s="4">
        <f ca="1">TODAY()</f>
        <v>43138</v>
      </c>
      <c r="F3" s="65">
        <f>'MY STATS'!B$11</f>
        <v>587410.55929510726</v>
      </c>
      <c r="G3" s="65">
        <f>VLOOKUP(A1-1,'MY STATS'!B$28:J$40,9)</f>
        <v>0</v>
      </c>
      <c r="H3" s="66">
        <f>VLOOKUP($A$1-1,'MY STATS'!$B$28:$I$41,8)</f>
        <v>0</v>
      </c>
      <c r="I3" s="66"/>
      <c r="J3" s="66"/>
      <c r="K3" s="66"/>
      <c r="L3" s="65"/>
      <c r="M3" s="65"/>
      <c r="N3" s="323"/>
      <c r="O3" s="345"/>
      <c r="P3" s="230"/>
      <c r="Q3" s="230"/>
      <c r="R3" s="346"/>
      <c r="S3" s="346"/>
      <c r="T3" s="346"/>
      <c r="U3" s="346"/>
      <c r="V3" s="346"/>
      <c r="W3" s="346"/>
      <c r="X3" s="230"/>
      <c r="Y3" s="230"/>
      <c r="Z3" s="234"/>
      <c r="AA3" s="234"/>
      <c r="AB3" s="230"/>
      <c r="AC3" s="230"/>
      <c r="AD3" s="97"/>
      <c r="AE3" s="97"/>
    </row>
    <row r="4" spans="1:34" ht="14" hidden="1" customHeight="1" thickTop="1" thickBot="1">
      <c r="A4" s="3"/>
      <c r="C4" s="37">
        <f>C3-1</f>
        <v>43184</v>
      </c>
      <c r="D4" s="3"/>
      <c r="O4" s="347"/>
      <c r="P4" s="260">
        <f t="shared" ref="P4:P11" si="0">H$56</f>
        <v>64079.276794873505</v>
      </c>
      <c r="Q4" s="169">
        <f>IF(R$2=3,P4,IF(R$2=2,P4*1.0936,IF(R$2=1,P4*0.000568181818*1.0936133,"")))</f>
        <v>39.817016667517095</v>
      </c>
      <c r="R4" s="246"/>
      <c r="S4" s="246"/>
      <c r="T4" s="246"/>
      <c r="U4" s="246"/>
      <c r="V4" s="246"/>
      <c r="W4" s="246"/>
      <c r="X4" s="260"/>
      <c r="Y4" s="260"/>
      <c r="Z4" s="259">
        <v>0</v>
      </c>
      <c r="AA4" s="234"/>
      <c r="AB4" s="230">
        <v>0</v>
      </c>
      <c r="AC4" s="230"/>
      <c r="AD4" s="97"/>
      <c r="AE4" s="97"/>
    </row>
    <row r="5" spans="1:34" ht="15.75" customHeight="1" thickTop="1">
      <c r="A5" s="26" t="s">
        <v>8</v>
      </c>
      <c r="B5" s="23">
        <f>IF(B$2&gt;C5,0,C5)</f>
        <v>0</v>
      </c>
      <c r="C5" s="37">
        <f>C3</f>
        <v>43185</v>
      </c>
      <c r="D5" s="24">
        <f t="shared" ref="D5:D51" ca="1" si="1">TODAY()-C5</f>
        <v>-47</v>
      </c>
      <c r="E5" s="115" t="str">
        <f>IF(B5=0,"","Monday")</f>
        <v/>
      </c>
      <c r="F5" s="55"/>
      <c r="G5" s="56"/>
      <c r="H5" s="56"/>
      <c r="I5" s="199"/>
      <c r="J5" s="56"/>
      <c r="K5" s="201" t="str">
        <f t="shared" ref="K5" si="2">IF(R5=0,"",IF(L5="","",J5))</f>
        <v/>
      </c>
      <c r="L5" s="56"/>
      <c r="M5" s="56" t="str">
        <f>IF(R5=0,"",IF(J5="","",L5))</f>
        <v/>
      </c>
      <c r="N5" s="324"/>
      <c r="O5" s="259" t="str">
        <f t="shared" ref="O5:O51" si="3">IF(B5=0,"",(F$3-G$3)/(A$3-B$2)+0.1)</f>
        <v/>
      </c>
      <c r="P5" s="260">
        <f t="shared" si="0"/>
        <v>64079.276794873505</v>
      </c>
      <c r="Q5" s="169">
        <f t="shared" ref="Q5:Q51" si="4">IF(R$2=3,P5,IF(R$2=2,P5*1.0936,IF(R$2=1,P5*0.000568181818*1.0936133,"")))</f>
        <v>39.817016667517095</v>
      </c>
      <c r="R5" s="169">
        <f>IF(R$2=3,H5+G5/1.0936133+F5/0.0006213712,IF(R$2=2,H5*1.0936133+G5+F5/0.0005681818,IF(R$2=1,H5*0.0005681818*1.0936133+G5*0.0005681818+F5,"")))</f>
        <v>0</v>
      </c>
      <c r="S5" s="368" t="str">
        <f>IF(R5=0,"",R5*IF(L5&gt;0,1,0))</f>
        <v/>
      </c>
      <c r="T5" s="169"/>
      <c r="U5" s="169"/>
      <c r="V5" s="170" t="str">
        <f t="shared" ref="V5:V11" si="5">IF(L5="","",IF(R5=0,"",IF(B5=0,"",IF($R$2=3,R5/L5*60/1000,IF($R$2=2,R5/L5*60/1760,IF($R$2=1,R5/L5*60,""))))))</f>
        <v/>
      </c>
      <c r="W5" s="170" t="str">
        <f t="shared" ref="W5:W11" si="6">IF(R5=0,"",IF(L5="","",V5*L5))</f>
        <v/>
      </c>
      <c r="X5" s="259">
        <f t="shared" ref="X5:Z11" si="7">F5+X4</f>
        <v>0</v>
      </c>
      <c r="Y5" s="259">
        <f t="shared" si="7"/>
        <v>0</v>
      </c>
      <c r="Z5" s="259">
        <f t="shared" si="7"/>
        <v>0</v>
      </c>
      <c r="AA5" s="348">
        <f t="shared" ref="AA5:AA51" si="8">Z5/1000+Y5/1093.6133+X5/0.621371192</f>
        <v>0</v>
      </c>
      <c r="AB5" s="349">
        <f>R5</f>
        <v>0</v>
      </c>
      <c r="AC5" s="234"/>
      <c r="AD5" s="98"/>
      <c r="AE5" s="98"/>
      <c r="AF5" s="8"/>
    </row>
    <row r="6" spans="1:34">
      <c r="A6" s="27"/>
      <c r="B6" s="5">
        <f t="shared" ref="B6:B11" si="9">IF(B$2&gt;C6,0,C6)</f>
        <v>0</v>
      </c>
      <c r="C6" s="38">
        <f>C3+1</f>
        <v>43186</v>
      </c>
      <c r="D6" s="7">
        <f t="shared" ca="1" si="1"/>
        <v>-48</v>
      </c>
      <c r="E6" s="114" t="str">
        <f>IF(B6=0,"","Tuesday")</f>
        <v/>
      </c>
      <c r="F6" s="55"/>
      <c r="G6" s="56"/>
      <c r="H6" s="56"/>
      <c r="I6" s="200"/>
      <c r="J6" s="56"/>
      <c r="K6" s="201" t="str">
        <f>IF(R6=0,"",IF(L6="","",J6))</f>
        <v/>
      </c>
      <c r="L6" s="56"/>
      <c r="M6" s="56" t="str">
        <f t="shared" ref="M6:M11" si="10">IF(R6=0,"",IF(J6="","",L6))</f>
        <v/>
      </c>
      <c r="N6" s="324"/>
      <c r="O6" s="259" t="str">
        <f t="shared" si="3"/>
        <v/>
      </c>
      <c r="P6" s="260">
        <f t="shared" si="0"/>
        <v>64079.276794873505</v>
      </c>
      <c r="Q6" s="169">
        <f t="shared" si="4"/>
        <v>39.817016667517095</v>
      </c>
      <c r="R6" s="169">
        <f t="shared" ref="R6:R11" si="11">IF(R$2=3,H6+G6/1.0936133+F6/0.0006213712,IF(R$2=2,H6*1.0936133+G6+F6/0.0005681818,IF(R$2=1,H6*0.0005681818*1.0936133+G6*0.0005681818+F6,"")))</f>
        <v>0</v>
      </c>
      <c r="S6" s="368" t="str">
        <f t="shared" ref="S6:S51" si="12">IF(R6=0,"",R6*IF(L6&gt;0,1,0))</f>
        <v/>
      </c>
      <c r="T6" s="169"/>
      <c r="U6" s="169"/>
      <c r="V6" s="170" t="str">
        <f t="shared" si="5"/>
        <v/>
      </c>
      <c r="W6" s="170" t="str">
        <f t="shared" si="6"/>
        <v/>
      </c>
      <c r="X6" s="259">
        <f t="shared" si="7"/>
        <v>0</v>
      </c>
      <c r="Y6" s="259">
        <f t="shared" si="7"/>
        <v>0</v>
      </c>
      <c r="Z6" s="259">
        <f t="shared" si="7"/>
        <v>0</v>
      </c>
      <c r="AA6" s="348">
        <f t="shared" si="8"/>
        <v>0</v>
      </c>
      <c r="AB6" s="274">
        <f t="shared" ref="AB6:AB51" si="13">AB5+R6</f>
        <v>0</v>
      </c>
      <c r="AC6" s="230"/>
      <c r="AD6" s="97"/>
      <c r="AE6" s="97"/>
      <c r="AH6" s="10"/>
    </row>
    <row r="7" spans="1:34">
      <c r="A7" s="27"/>
      <c r="B7" s="5">
        <f t="shared" si="9"/>
        <v>0</v>
      </c>
      <c r="C7" s="38">
        <f>C3+2</f>
        <v>43187</v>
      </c>
      <c r="D7" s="7">
        <f t="shared" ca="1" si="1"/>
        <v>-49</v>
      </c>
      <c r="E7" s="114" t="str">
        <f>IF(B7=0,"","Wednesday")</f>
        <v/>
      </c>
      <c r="F7" s="55"/>
      <c r="G7" s="56"/>
      <c r="H7" s="56"/>
      <c r="I7" s="200"/>
      <c r="J7" s="56"/>
      <c r="K7" s="201" t="str">
        <f t="shared" ref="K7:K11" si="14">IF(R7=0,"",IF(L7="","",J7))</f>
        <v/>
      </c>
      <c r="L7" s="56"/>
      <c r="M7" s="56" t="str">
        <f t="shared" si="10"/>
        <v/>
      </c>
      <c r="N7" s="325"/>
      <c r="O7" s="259" t="str">
        <f t="shared" si="3"/>
        <v/>
      </c>
      <c r="P7" s="260">
        <f t="shared" si="0"/>
        <v>64079.276794873505</v>
      </c>
      <c r="Q7" s="169">
        <f t="shared" si="4"/>
        <v>39.817016667517095</v>
      </c>
      <c r="R7" s="169">
        <f t="shared" si="11"/>
        <v>0</v>
      </c>
      <c r="S7" s="368" t="str">
        <f t="shared" si="12"/>
        <v/>
      </c>
      <c r="T7" s="169"/>
      <c r="U7" s="169"/>
      <c r="V7" s="170" t="str">
        <f t="shared" si="5"/>
        <v/>
      </c>
      <c r="W7" s="170" t="str">
        <f t="shared" si="6"/>
        <v/>
      </c>
      <c r="X7" s="259">
        <f t="shared" si="7"/>
        <v>0</v>
      </c>
      <c r="Y7" s="259">
        <f t="shared" si="7"/>
        <v>0</v>
      </c>
      <c r="Z7" s="259">
        <f t="shared" si="7"/>
        <v>0</v>
      </c>
      <c r="AA7" s="348">
        <f t="shared" si="8"/>
        <v>0</v>
      </c>
      <c r="AB7" s="274">
        <f t="shared" si="13"/>
        <v>0</v>
      </c>
      <c r="AC7" s="230"/>
      <c r="AD7" s="97"/>
      <c r="AE7" s="97"/>
    </row>
    <row r="8" spans="1:34">
      <c r="A8" s="27"/>
      <c r="B8" s="5">
        <f t="shared" si="9"/>
        <v>0</v>
      </c>
      <c r="C8" s="38">
        <f>C3+3</f>
        <v>43188</v>
      </c>
      <c r="D8" s="7">
        <f t="shared" ca="1" si="1"/>
        <v>-50</v>
      </c>
      <c r="E8" s="114" t="str">
        <f>IF(B8=0,"","Thursday")</f>
        <v/>
      </c>
      <c r="F8" s="55"/>
      <c r="G8" s="56"/>
      <c r="H8" s="56"/>
      <c r="I8" s="200"/>
      <c r="J8" s="56"/>
      <c r="K8" s="201" t="str">
        <f t="shared" si="14"/>
        <v/>
      </c>
      <c r="L8" s="56"/>
      <c r="M8" s="56" t="str">
        <f t="shared" si="10"/>
        <v/>
      </c>
      <c r="N8" s="325"/>
      <c r="O8" s="259" t="str">
        <f t="shared" si="3"/>
        <v/>
      </c>
      <c r="P8" s="260">
        <f t="shared" si="0"/>
        <v>64079.276794873505</v>
      </c>
      <c r="Q8" s="169">
        <f t="shared" si="4"/>
        <v>39.817016667517095</v>
      </c>
      <c r="R8" s="169">
        <f t="shared" si="11"/>
        <v>0</v>
      </c>
      <c r="S8" s="368" t="str">
        <f t="shared" si="12"/>
        <v/>
      </c>
      <c r="T8" s="169"/>
      <c r="U8" s="169"/>
      <c r="V8" s="170" t="str">
        <f t="shared" si="5"/>
        <v/>
      </c>
      <c r="W8" s="170" t="str">
        <f t="shared" si="6"/>
        <v/>
      </c>
      <c r="X8" s="259">
        <f t="shared" si="7"/>
        <v>0</v>
      </c>
      <c r="Y8" s="259">
        <f t="shared" si="7"/>
        <v>0</v>
      </c>
      <c r="Z8" s="259">
        <f t="shared" si="7"/>
        <v>0</v>
      </c>
      <c r="AA8" s="348">
        <f t="shared" si="8"/>
        <v>0</v>
      </c>
      <c r="AB8" s="274">
        <f t="shared" si="13"/>
        <v>0</v>
      </c>
      <c r="AC8" s="230"/>
      <c r="AD8" s="97"/>
      <c r="AE8" s="97"/>
    </row>
    <row r="9" spans="1:34">
      <c r="A9" s="27"/>
      <c r="B9" s="5">
        <f t="shared" si="9"/>
        <v>0</v>
      </c>
      <c r="C9" s="38">
        <f>C3+4</f>
        <v>43189</v>
      </c>
      <c r="D9" s="7">
        <f t="shared" ca="1" si="1"/>
        <v>-51</v>
      </c>
      <c r="E9" s="114" t="str">
        <f>IF(B9=0,"","Friday")</f>
        <v/>
      </c>
      <c r="F9" s="55"/>
      <c r="G9" s="56"/>
      <c r="H9" s="56"/>
      <c r="I9" s="200"/>
      <c r="J9" s="56"/>
      <c r="K9" s="201" t="str">
        <f t="shared" si="14"/>
        <v/>
      </c>
      <c r="L9" s="56"/>
      <c r="M9" s="56" t="str">
        <f t="shared" si="10"/>
        <v/>
      </c>
      <c r="N9" s="324"/>
      <c r="O9" s="259" t="str">
        <f t="shared" si="3"/>
        <v/>
      </c>
      <c r="P9" s="260">
        <f t="shared" si="0"/>
        <v>64079.276794873505</v>
      </c>
      <c r="Q9" s="169">
        <f t="shared" si="4"/>
        <v>39.817016667517095</v>
      </c>
      <c r="R9" s="169">
        <f t="shared" si="11"/>
        <v>0</v>
      </c>
      <c r="S9" s="368" t="str">
        <f t="shared" si="12"/>
        <v/>
      </c>
      <c r="T9" s="169"/>
      <c r="U9" s="169"/>
      <c r="V9" s="170" t="str">
        <f t="shared" si="5"/>
        <v/>
      </c>
      <c r="W9" s="170" t="str">
        <f t="shared" si="6"/>
        <v/>
      </c>
      <c r="X9" s="259">
        <f t="shared" si="7"/>
        <v>0</v>
      </c>
      <c r="Y9" s="259">
        <f t="shared" si="7"/>
        <v>0</v>
      </c>
      <c r="Z9" s="259">
        <f t="shared" si="7"/>
        <v>0</v>
      </c>
      <c r="AA9" s="348">
        <f t="shared" si="8"/>
        <v>0</v>
      </c>
      <c r="AB9" s="274">
        <f t="shared" si="13"/>
        <v>0</v>
      </c>
      <c r="AC9" s="230"/>
      <c r="AD9" s="97"/>
      <c r="AE9" s="97"/>
    </row>
    <row r="10" spans="1:34">
      <c r="A10" s="27"/>
      <c r="B10" s="5">
        <f t="shared" si="9"/>
        <v>0</v>
      </c>
      <c r="C10" s="38">
        <f>C3+5</f>
        <v>43190</v>
      </c>
      <c r="D10" s="7">
        <f t="shared" ca="1" si="1"/>
        <v>-52</v>
      </c>
      <c r="E10" s="114" t="str">
        <f>IF(B10=0,"","Saturday")</f>
        <v/>
      </c>
      <c r="F10" s="55"/>
      <c r="G10" s="56"/>
      <c r="H10" s="56"/>
      <c r="I10" s="200"/>
      <c r="J10" s="56"/>
      <c r="K10" s="201" t="str">
        <f t="shared" si="14"/>
        <v/>
      </c>
      <c r="L10" s="56"/>
      <c r="M10" s="56" t="str">
        <f t="shared" si="10"/>
        <v/>
      </c>
      <c r="N10" s="324"/>
      <c r="O10" s="259" t="str">
        <f t="shared" si="3"/>
        <v/>
      </c>
      <c r="P10" s="260">
        <f t="shared" si="0"/>
        <v>64079.276794873505</v>
      </c>
      <c r="Q10" s="169">
        <f t="shared" si="4"/>
        <v>39.817016667517095</v>
      </c>
      <c r="R10" s="169">
        <f t="shared" si="11"/>
        <v>0</v>
      </c>
      <c r="S10" s="368" t="str">
        <f t="shared" si="12"/>
        <v/>
      </c>
      <c r="T10" s="169"/>
      <c r="U10" s="169"/>
      <c r="V10" s="170" t="str">
        <f t="shared" si="5"/>
        <v/>
      </c>
      <c r="W10" s="170" t="str">
        <f t="shared" si="6"/>
        <v/>
      </c>
      <c r="X10" s="259">
        <f t="shared" si="7"/>
        <v>0</v>
      </c>
      <c r="Y10" s="259">
        <f t="shared" si="7"/>
        <v>0</v>
      </c>
      <c r="Z10" s="259">
        <f t="shared" si="7"/>
        <v>0</v>
      </c>
      <c r="AA10" s="348">
        <f t="shared" si="8"/>
        <v>0</v>
      </c>
      <c r="AB10" s="274">
        <f t="shared" si="13"/>
        <v>0</v>
      </c>
      <c r="AC10" s="230"/>
      <c r="AD10" s="97"/>
      <c r="AE10" s="97"/>
    </row>
    <row r="11" spans="1:34" ht="15.75" customHeight="1" thickBot="1">
      <c r="A11" s="27"/>
      <c r="B11" s="53">
        <f t="shared" si="9"/>
        <v>43191</v>
      </c>
      <c r="C11" s="41">
        <f>C3+6</f>
        <v>43191</v>
      </c>
      <c r="D11" s="54">
        <f t="shared" ca="1" si="1"/>
        <v>-53</v>
      </c>
      <c r="E11" s="117" t="str">
        <f>IF(B11=0,"","Sunday")</f>
        <v>Sunday</v>
      </c>
      <c r="F11" s="55"/>
      <c r="G11" s="56"/>
      <c r="H11" s="56"/>
      <c r="I11" s="200"/>
      <c r="J11" s="56"/>
      <c r="K11" s="201" t="str">
        <f t="shared" si="14"/>
        <v/>
      </c>
      <c r="L11" s="56"/>
      <c r="M11" s="56" t="str">
        <f t="shared" si="10"/>
        <v/>
      </c>
      <c r="N11" s="326"/>
      <c r="O11" s="259">
        <f t="shared" si="3"/>
        <v>2136.1383974367536</v>
      </c>
      <c r="P11" s="260">
        <f t="shared" si="0"/>
        <v>64079.276794873505</v>
      </c>
      <c r="Q11" s="169">
        <f t="shared" si="4"/>
        <v>39.817016667517095</v>
      </c>
      <c r="R11" s="169">
        <f t="shared" si="11"/>
        <v>0</v>
      </c>
      <c r="S11" s="368" t="str">
        <f t="shared" si="12"/>
        <v/>
      </c>
      <c r="T11" s="169"/>
      <c r="U11" s="169"/>
      <c r="V11" s="170" t="str">
        <f t="shared" si="5"/>
        <v/>
      </c>
      <c r="W11" s="170" t="str">
        <f t="shared" si="6"/>
        <v/>
      </c>
      <c r="X11" s="259">
        <f t="shared" si="7"/>
        <v>0</v>
      </c>
      <c r="Y11" s="259">
        <f t="shared" si="7"/>
        <v>0</v>
      </c>
      <c r="Z11" s="259">
        <f t="shared" si="7"/>
        <v>0</v>
      </c>
      <c r="AA11" s="348">
        <f t="shared" si="8"/>
        <v>0</v>
      </c>
      <c r="AB11" s="274">
        <f t="shared" si="13"/>
        <v>0</v>
      </c>
      <c r="AC11" s="230"/>
      <c r="AD11" s="97"/>
      <c r="AE11" s="97"/>
    </row>
    <row r="12" spans="1:34" ht="16" thickTop="1">
      <c r="A12" s="29"/>
      <c r="B12" s="16"/>
      <c r="C12" s="42"/>
      <c r="D12" s="60">
        <f ca="1">TODAY()-C12</f>
        <v>43138</v>
      </c>
      <c r="E12" s="113" t="s">
        <v>76</v>
      </c>
      <c r="F12" s="59">
        <f ca="1">G12*0.000568181818</f>
        <v>0</v>
      </c>
      <c r="G12" s="19">
        <f ca="1">H12*1.0936113</f>
        <v>0</v>
      </c>
      <c r="H12" s="129">
        <f ca="1">IF(TODAY()&gt;=B5,AA11*1000,-2E-55)</f>
        <v>0</v>
      </c>
      <c r="I12" s="135"/>
      <c r="J12" s="443" t="s">
        <v>121</v>
      </c>
      <c r="K12" s="444"/>
      <c r="L12" s="444"/>
      <c r="M12" s="444"/>
      <c r="N12" s="444"/>
      <c r="O12" s="259" t="str">
        <f t="shared" si="3"/>
        <v/>
      </c>
      <c r="P12" s="260"/>
      <c r="Q12" s="169">
        <f t="shared" si="4"/>
        <v>0</v>
      </c>
      <c r="R12" s="350"/>
      <c r="S12" s="368" t="str">
        <f t="shared" si="12"/>
        <v/>
      </c>
      <c r="T12" s="350"/>
      <c r="U12" s="350"/>
      <c r="V12" s="350"/>
      <c r="W12" s="350"/>
      <c r="X12" s="260"/>
      <c r="Y12" s="260"/>
      <c r="Z12" s="234"/>
      <c r="AA12" s="348">
        <f t="shared" si="8"/>
        <v>0</v>
      </c>
      <c r="AB12" s="274">
        <f t="shared" si="13"/>
        <v>0</v>
      </c>
      <c r="AC12" s="230"/>
      <c r="AD12" s="97"/>
      <c r="AE12" s="97"/>
    </row>
    <row r="13" spans="1:34" ht="16" thickBot="1">
      <c r="A13" s="28"/>
      <c r="B13" s="17"/>
      <c r="C13" s="39"/>
      <c r="D13" s="61">
        <f ca="1">TODAY()-C13</f>
        <v>43138</v>
      </c>
      <c r="E13" s="116" t="s">
        <v>33</v>
      </c>
      <c r="F13" s="62">
        <f>G13*0.0005681818</f>
        <v>1.3273323949121374</v>
      </c>
      <c r="G13" s="63">
        <f>H13*1.0936113</f>
        <v>2336.1050898007247</v>
      </c>
      <c r="H13" s="130">
        <f>SUM($O5:$O11)</f>
        <v>2136.1383974367536</v>
      </c>
      <c r="I13" s="136"/>
      <c r="J13" s="445" t="str">
        <f>IF(R$2=1,"MILES &amp; mph",IF(R$2=2,"YARDS &amp; mph",IF(R$2=3,"METRES &amp; km/h","????")))</f>
        <v>MILES &amp; mph</v>
      </c>
      <c r="K13" s="446"/>
      <c r="L13" s="446"/>
      <c r="M13" s="446"/>
      <c r="N13" s="446"/>
      <c r="O13" s="259" t="str">
        <f t="shared" si="3"/>
        <v/>
      </c>
      <c r="P13" s="260"/>
      <c r="Q13" s="169">
        <f t="shared" si="4"/>
        <v>0</v>
      </c>
      <c r="R13" s="351"/>
      <c r="S13" s="368" t="str">
        <f t="shared" si="12"/>
        <v/>
      </c>
      <c r="T13" s="351"/>
      <c r="U13" s="351"/>
      <c r="V13" s="351"/>
      <c r="W13" s="351"/>
      <c r="X13" s="260"/>
      <c r="Y13" s="260"/>
      <c r="Z13" s="234"/>
      <c r="AA13" s="348">
        <f t="shared" si="8"/>
        <v>0</v>
      </c>
      <c r="AB13" s="274">
        <f t="shared" si="13"/>
        <v>0</v>
      </c>
      <c r="AC13" s="230"/>
      <c r="AD13" s="97"/>
      <c r="AE13" s="97"/>
    </row>
    <row r="14" spans="1:34" ht="16" thickTop="1">
      <c r="A14" s="1" t="s">
        <v>9</v>
      </c>
      <c r="B14" s="57">
        <f t="shared" ref="B14:B20" si="15">IF(B$2&gt;C14,0,C14)</f>
        <v>43192</v>
      </c>
      <c r="C14" s="40">
        <f>C11+1</f>
        <v>43192</v>
      </c>
      <c r="D14" s="22">
        <f t="shared" ca="1" si="1"/>
        <v>-54</v>
      </c>
      <c r="E14" s="118" t="s">
        <v>1</v>
      </c>
      <c r="F14" s="55"/>
      <c r="G14" s="56"/>
      <c r="H14" s="56"/>
      <c r="I14" s="136"/>
      <c r="J14" s="128"/>
      <c r="K14" s="201" t="str">
        <f t="shared" ref="K14" si="16">IF(R14=0,"",IF(L14="","",J14))</f>
        <v/>
      </c>
      <c r="L14" s="128"/>
      <c r="M14" s="56" t="str">
        <f>IF(R14=0,"",IF(J14="","",L14))</f>
        <v/>
      </c>
      <c r="N14" s="327"/>
      <c r="O14" s="259">
        <f t="shared" si="3"/>
        <v>2136.1383974367536</v>
      </c>
      <c r="P14" s="260">
        <f t="shared" ref="P14:P20" si="17">H$56</f>
        <v>64079.276794873505</v>
      </c>
      <c r="Q14" s="169">
        <f t="shared" si="4"/>
        <v>39.817016667517095</v>
      </c>
      <c r="R14" s="169">
        <f>IF(R$2=3,H14+G14/1.0936133+F14/0.0006213712,IF(R$2=2,H14*1.0936133+G14+F14/0.0005681818,IF(R$2=1,H14*0.0005681818*1.0936133+G14*0.0005681818+F14,"")))</f>
        <v>0</v>
      </c>
      <c r="S14" s="368" t="str">
        <f t="shared" si="12"/>
        <v/>
      </c>
      <c r="T14" s="169"/>
      <c r="U14" s="169"/>
      <c r="V14" s="170" t="str">
        <f t="shared" ref="V14:V20" si="18">IF(L14="","",IF(R14=0,"",IF(B14=0,"",IF($R$2=3,R14/L14*60/1000,IF($R$2=2,R14/L14*60/1760,IF($R$2=1,R14/L14*60,""))))))</f>
        <v/>
      </c>
      <c r="W14" s="170" t="str">
        <f t="shared" ref="W14:W20" si="19">IF(R14=0,"",IF(L14="","",V14*L14))</f>
        <v/>
      </c>
      <c r="X14" s="259">
        <f>F14+X11</f>
        <v>0</v>
      </c>
      <c r="Y14" s="259">
        <f>G14+Y11</f>
        <v>0</v>
      </c>
      <c r="Z14" s="259">
        <f>H14+Z11</f>
        <v>0</v>
      </c>
      <c r="AA14" s="348">
        <f t="shared" si="8"/>
        <v>0</v>
      </c>
      <c r="AB14" s="274">
        <f t="shared" si="13"/>
        <v>0</v>
      </c>
      <c r="AC14" s="230"/>
      <c r="AD14" s="97"/>
      <c r="AE14" s="97"/>
    </row>
    <row r="15" spans="1:34">
      <c r="A15" s="1"/>
      <c r="B15" s="5">
        <f t="shared" si="15"/>
        <v>43193</v>
      </c>
      <c r="C15" s="38">
        <f t="shared" ref="C15:C20" si="20">C14+1</f>
        <v>43193</v>
      </c>
      <c r="D15" s="7">
        <f t="shared" ca="1" si="1"/>
        <v>-55</v>
      </c>
      <c r="E15" s="114" t="s">
        <v>2</v>
      </c>
      <c r="F15" s="55"/>
      <c r="G15" s="56"/>
      <c r="H15" s="56"/>
      <c r="I15" s="200"/>
      <c r="J15" s="56"/>
      <c r="K15" s="201" t="str">
        <f>IF(R15=0,"",IF(L15="","",J15))</f>
        <v/>
      </c>
      <c r="L15" s="56"/>
      <c r="M15" s="56" t="str">
        <f t="shared" ref="M15:M20" si="21">IF(R15=0,"",IF(J15="","",L15))</f>
        <v/>
      </c>
      <c r="N15" s="324"/>
      <c r="O15" s="259">
        <f t="shared" si="3"/>
        <v>2136.1383974367536</v>
      </c>
      <c r="P15" s="260">
        <f t="shared" si="17"/>
        <v>64079.276794873505</v>
      </c>
      <c r="Q15" s="169">
        <f t="shared" si="4"/>
        <v>39.817016667517095</v>
      </c>
      <c r="R15" s="169">
        <f t="shared" ref="R15:R20" si="22">IF(R$2=3,H15+G15/1.0936133+F15/0.0006213712,IF(R$2=2,H15*1.0936133+G15+F15/0.0005681818,IF(R$2=1,H15*0.0005681818*1.0936133+G15*0.0005681818+F15,"")))</f>
        <v>0</v>
      </c>
      <c r="S15" s="368" t="str">
        <f t="shared" si="12"/>
        <v/>
      </c>
      <c r="T15" s="169"/>
      <c r="U15" s="169"/>
      <c r="V15" s="170" t="str">
        <f t="shared" si="18"/>
        <v/>
      </c>
      <c r="W15" s="170" t="str">
        <f t="shared" si="19"/>
        <v/>
      </c>
      <c r="X15" s="259">
        <f t="shared" ref="X15:Z20" si="23">F15+X14</f>
        <v>0</v>
      </c>
      <c r="Y15" s="259">
        <f t="shared" si="23"/>
        <v>0</v>
      </c>
      <c r="Z15" s="259">
        <f t="shared" si="23"/>
        <v>0</v>
      </c>
      <c r="AA15" s="348">
        <f t="shared" si="8"/>
        <v>0</v>
      </c>
      <c r="AB15" s="274">
        <f t="shared" si="13"/>
        <v>0</v>
      </c>
      <c r="AC15" s="230"/>
      <c r="AD15" s="97"/>
      <c r="AE15" s="97"/>
    </row>
    <row r="16" spans="1:34">
      <c r="A16" s="1"/>
      <c r="B16" s="5">
        <f t="shared" si="15"/>
        <v>43194</v>
      </c>
      <c r="C16" s="38">
        <f t="shared" si="20"/>
        <v>43194</v>
      </c>
      <c r="D16" s="7">
        <f t="shared" ca="1" si="1"/>
        <v>-56</v>
      </c>
      <c r="E16" s="114" t="s">
        <v>3</v>
      </c>
      <c r="F16" s="55"/>
      <c r="G16" s="56"/>
      <c r="H16" s="56"/>
      <c r="I16" s="200"/>
      <c r="J16" s="56"/>
      <c r="K16" s="201" t="str">
        <f t="shared" ref="K16:K20" si="24">IF(R16=0,"",IF(L16="","",J16))</f>
        <v/>
      </c>
      <c r="L16" s="56"/>
      <c r="M16" s="56" t="str">
        <f t="shared" si="21"/>
        <v/>
      </c>
      <c r="N16" s="324"/>
      <c r="O16" s="259">
        <f t="shared" si="3"/>
        <v>2136.1383974367536</v>
      </c>
      <c r="P16" s="260">
        <f t="shared" si="17"/>
        <v>64079.276794873505</v>
      </c>
      <c r="Q16" s="169">
        <f t="shared" si="4"/>
        <v>39.817016667517095</v>
      </c>
      <c r="R16" s="169">
        <f t="shared" si="22"/>
        <v>0</v>
      </c>
      <c r="S16" s="368" t="str">
        <f t="shared" si="12"/>
        <v/>
      </c>
      <c r="T16" s="169"/>
      <c r="U16" s="169"/>
      <c r="V16" s="170" t="str">
        <f t="shared" si="18"/>
        <v/>
      </c>
      <c r="W16" s="170" t="str">
        <f t="shared" si="19"/>
        <v/>
      </c>
      <c r="X16" s="259">
        <f t="shared" si="23"/>
        <v>0</v>
      </c>
      <c r="Y16" s="259">
        <f t="shared" si="23"/>
        <v>0</v>
      </c>
      <c r="Z16" s="259">
        <f t="shared" si="23"/>
        <v>0</v>
      </c>
      <c r="AA16" s="348">
        <f t="shared" si="8"/>
        <v>0</v>
      </c>
      <c r="AB16" s="274">
        <f t="shared" si="13"/>
        <v>0</v>
      </c>
      <c r="AC16" s="230"/>
      <c r="AD16" s="97"/>
      <c r="AE16" s="97"/>
    </row>
    <row r="17" spans="1:31">
      <c r="A17" s="1"/>
      <c r="B17" s="5">
        <f t="shared" si="15"/>
        <v>43195</v>
      </c>
      <c r="C17" s="38">
        <f t="shared" si="20"/>
        <v>43195</v>
      </c>
      <c r="D17" s="7">
        <f t="shared" ca="1" si="1"/>
        <v>-57</v>
      </c>
      <c r="E17" s="114" t="s">
        <v>4</v>
      </c>
      <c r="F17" s="55"/>
      <c r="G17" s="56"/>
      <c r="H17" s="56"/>
      <c r="I17" s="200"/>
      <c r="J17" s="56"/>
      <c r="K17" s="201" t="str">
        <f t="shared" si="24"/>
        <v/>
      </c>
      <c r="L17" s="56"/>
      <c r="M17" s="56" t="str">
        <f t="shared" si="21"/>
        <v/>
      </c>
      <c r="N17" s="324"/>
      <c r="O17" s="259">
        <f t="shared" si="3"/>
        <v>2136.1383974367536</v>
      </c>
      <c r="P17" s="260">
        <f t="shared" si="17"/>
        <v>64079.276794873505</v>
      </c>
      <c r="Q17" s="169">
        <f t="shared" si="4"/>
        <v>39.817016667517095</v>
      </c>
      <c r="R17" s="169">
        <f t="shared" si="22"/>
        <v>0</v>
      </c>
      <c r="S17" s="368" t="str">
        <f t="shared" si="12"/>
        <v/>
      </c>
      <c r="T17" s="169"/>
      <c r="U17" s="169"/>
      <c r="V17" s="170" t="str">
        <f t="shared" si="18"/>
        <v/>
      </c>
      <c r="W17" s="170" t="str">
        <f t="shared" si="19"/>
        <v/>
      </c>
      <c r="X17" s="259">
        <f t="shared" si="23"/>
        <v>0</v>
      </c>
      <c r="Y17" s="259">
        <f t="shared" si="23"/>
        <v>0</v>
      </c>
      <c r="Z17" s="259">
        <f t="shared" si="23"/>
        <v>0</v>
      </c>
      <c r="AA17" s="348">
        <f t="shared" si="8"/>
        <v>0</v>
      </c>
      <c r="AB17" s="274">
        <f t="shared" si="13"/>
        <v>0</v>
      </c>
      <c r="AC17" s="230"/>
      <c r="AD17" s="97"/>
      <c r="AE17" s="97"/>
    </row>
    <row r="18" spans="1:31">
      <c r="A18" s="1"/>
      <c r="B18" s="5">
        <f t="shared" si="15"/>
        <v>43196</v>
      </c>
      <c r="C18" s="38">
        <f t="shared" si="20"/>
        <v>43196</v>
      </c>
      <c r="D18" s="7">
        <f t="shared" ca="1" si="1"/>
        <v>-58</v>
      </c>
      <c r="E18" s="114" t="s">
        <v>5</v>
      </c>
      <c r="F18" s="55"/>
      <c r="G18" s="56"/>
      <c r="H18" s="56"/>
      <c r="I18" s="200"/>
      <c r="J18" s="56"/>
      <c r="K18" s="201" t="str">
        <f t="shared" si="24"/>
        <v/>
      </c>
      <c r="L18" s="56"/>
      <c r="M18" s="56" t="str">
        <f t="shared" si="21"/>
        <v/>
      </c>
      <c r="N18" s="324"/>
      <c r="O18" s="259">
        <f t="shared" si="3"/>
        <v>2136.1383974367536</v>
      </c>
      <c r="P18" s="260">
        <f t="shared" si="17"/>
        <v>64079.276794873505</v>
      </c>
      <c r="Q18" s="169">
        <f t="shared" si="4"/>
        <v>39.817016667517095</v>
      </c>
      <c r="R18" s="169">
        <f t="shared" si="22"/>
        <v>0</v>
      </c>
      <c r="S18" s="368" t="str">
        <f t="shared" si="12"/>
        <v/>
      </c>
      <c r="T18" s="169"/>
      <c r="U18" s="169"/>
      <c r="V18" s="170" t="str">
        <f t="shared" si="18"/>
        <v/>
      </c>
      <c r="W18" s="170" t="str">
        <f t="shared" si="19"/>
        <v/>
      </c>
      <c r="X18" s="259">
        <f t="shared" si="23"/>
        <v>0</v>
      </c>
      <c r="Y18" s="259">
        <f t="shared" si="23"/>
        <v>0</v>
      </c>
      <c r="Z18" s="259">
        <f t="shared" si="23"/>
        <v>0</v>
      </c>
      <c r="AA18" s="348">
        <f t="shared" si="8"/>
        <v>0</v>
      </c>
      <c r="AB18" s="274">
        <f t="shared" si="13"/>
        <v>0</v>
      </c>
      <c r="AC18" s="230"/>
      <c r="AD18" s="97"/>
      <c r="AE18" s="97"/>
    </row>
    <row r="19" spans="1:31">
      <c r="A19" s="1"/>
      <c r="B19" s="5">
        <f t="shared" si="15"/>
        <v>43197</v>
      </c>
      <c r="C19" s="38">
        <f t="shared" si="20"/>
        <v>43197</v>
      </c>
      <c r="D19" s="7">
        <f t="shared" ca="1" si="1"/>
        <v>-59</v>
      </c>
      <c r="E19" s="114" t="s">
        <v>6</v>
      </c>
      <c r="F19" s="55"/>
      <c r="G19" s="56"/>
      <c r="H19" s="56"/>
      <c r="I19" s="200"/>
      <c r="J19" s="56"/>
      <c r="K19" s="201" t="str">
        <f t="shared" si="24"/>
        <v/>
      </c>
      <c r="L19" s="56"/>
      <c r="M19" s="56" t="str">
        <f t="shared" si="21"/>
        <v/>
      </c>
      <c r="N19" s="324"/>
      <c r="O19" s="259">
        <f t="shared" si="3"/>
        <v>2136.1383974367536</v>
      </c>
      <c r="P19" s="260">
        <f t="shared" si="17"/>
        <v>64079.276794873505</v>
      </c>
      <c r="Q19" s="169">
        <f t="shared" si="4"/>
        <v>39.817016667517095</v>
      </c>
      <c r="R19" s="169">
        <f t="shared" si="22"/>
        <v>0</v>
      </c>
      <c r="S19" s="368" t="str">
        <f t="shared" si="12"/>
        <v/>
      </c>
      <c r="T19" s="169"/>
      <c r="U19" s="169"/>
      <c r="V19" s="170" t="str">
        <f t="shared" si="18"/>
        <v/>
      </c>
      <c r="W19" s="170" t="str">
        <f t="shared" si="19"/>
        <v/>
      </c>
      <c r="X19" s="259">
        <f t="shared" si="23"/>
        <v>0</v>
      </c>
      <c r="Y19" s="259">
        <f t="shared" si="23"/>
        <v>0</v>
      </c>
      <c r="Z19" s="259">
        <f t="shared" si="23"/>
        <v>0</v>
      </c>
      <c r="AA19" s="348">
        <f t="shared" si="8"/>
        <v>0</v>
      </c>
      <c r="AB19" s="274">
        <f t="shared" si="13"/>
        <v>0</v>
      </c>
      <c r="AC19" s="230"/>
      <c r="AD19" s="97"/>
      <c r="AE19" s="97"/>
    </row>
    <row r="20" spans="1:31" ht="16" thickBot="1">
      <c r="A20" s="1"/>
      <c r="B20" s="53">
        <f t="shared" si="15"/>
        <v>43198</v>
      </c>
      <c r="C20" s="41">
        <f t="shared" si="20"/>
        <v>43198</v>
      </c>
      <c r="D20" s="54">
        <f t="shared" ca="1" si="1"/>
        <v>-60</v>
      </c>
      <c r="E20" s="117" t="s">
        <v>7</v>
      </c>
      <c r="F20" s="55"/>
      <c r="G20" s="56"/>
      <c r="H20" s="56"/>
      <c r="I20" s="200"/>
      <c r="J20" s="56"/>
      <c r="K20" s="201" t="str">
        <f t="shared" si="24"/>
        <v/>
      </c>
      <c r="L20" s="56"/>
      <c r="M20" s="56" t="str">
        <f t="shared" si="21"/>
        <v/>
      </c>
      <c r="N20" s="329"/>
      <c r="O20" s="259">
        <f t="shared" si="3"/>
        <v>2136.1383974367536</v>
      </c>
      <c r="P20" s="260">
        <f t="shared" si="17"/>
        <v>64079.276794873505</v>
      </c>
      <c r="Q20" s="169">
        <f t="shared" si="4"/>
        <v>39.817016667517095</v>
      </c>
      <c r="R20" s="169">
        <f t="shared" si="22"/>
        <v>0</v>
      </c>
      <c r="S20" s="368" t="str">
        <f t="shared" si="12"/>
        <v/>
      </c>
      <c r="T20" s="169"/>
      <c r="U20" s="169"/>
      <c r="V20" s="170" t="str">
        <f t="shared" si="18"/>
        <v/>
      </c>
      <c r="W20" s="170" t="str">
        <f t="shared" si="19"/>
        <v/>
      </c>
      <c r="X20" s="259">
        <f t="shared" si="23"/>
        <v>0</v>
      </c>
      <c r="Y20" s="259">
        <f t="shared" si="23"/>
        <v>0</v>
      </c>
      <c r="Z20" s="259">
        <f t="shared" si="23"/>
        <v>0</v>
      </c>
      <c r="AA20" s="348">
        <f t="shared" si="8"/>
        <v>0</v>
      </c>
      <c r="AB20" s="274">
        <f t="shared" si="13"/>
        <v>0</v>
      </c>
      <c r="AC20" s="230"/>
      <c r="AD20" s="97"/>
      <c r="AE20" s="97"/>
    </row>
    <row r="21" spans="1:31" ht="16" thickTop="1">
      <c r="A21" s="29"/>
      <c r="B21" s="16"/>
      <c r="C21" s="42"/>
      <c r="D21" s="60">
        <f ca="1">TODAY()-C21</f>
        <v>43138</v>
      </c>
      <c r="E21" s="113" t="s">
        <v>76</v>
      </c>
      <c r="F21" s="59">
        <f ca="1">G21*0.000568181818</f>
        <v>-1.2427401132386871E-58</v>
      </c>
      <c r="G21" s="19">
        <f ca="1">H21*1.0936113</f>
        <v>-2.1872226000000002E-55</v>
      </c>
      <c r="H21" s="129">
        <f ca="1">IF(TODAY()&gt;=B14,(AA20-AA11)*1000,-2E-55)</f>
        <v>-2E-55</v>
      </c>
      <c r="I21" s="152"/>
      <c r="J21" s="447" t="str">
        <f>IF(R21=0,"",#REF!)</f>
        <v/>
      </c>
      <c r="K21" s="448"/>
      <c r="L21" s="448"/>
      <c r="M21" s="448"/>
      <c r="N21" s="448"/>
      <c r="O21" s="259" t="str">
        <f t="shared" si="3"/>
        <v/>
      </c>
      <c r="P21" s="260"/>
      <c r="Q21" s="169">
        <f t="shared" si="4"/>
        <v>0</v>
      </c>
      <c r="R21" s="350"/>
      <c r="S21" s="368" t="str">
        <f t="shared" si="12"/>
        <v/>
      </c>
      <c r="T21" s="350"/>
      <c r="U21" s="350"/>
      <c r="V21" s="350"/>
      <c r="W21" s="350"/>
      <c r="X21" s="234"/>
      <c r="Y21" s="234"/>
      <c r="Z21" s="234"/>
      <c r="AA21" s="348">
        <f t="shared" si="8"/>
        <v>0</v>
      </c>
      <c r="AB21" s="274">
        <f t="shared" si="13"/>
        <v>0</v>
      </c>
      <c r="AC21" s="230"/>
      <c r="AD21" s="97"/>
      <c r="AE21" s="97"/>
    </row>
    <row r="22" spans="1:31" ht="16" thickBot="1">
      <c r="A22" s="28"/>
      <c r="B22" s="17"/>
      <c r="C22" s="39"/>
      <c r="D22" s="61">
        <f ca="1">TODAY()-C22</f>
        <v>43138</v>
      </c>
      <c r="E22" s="116" t="s">
        <v>33</v>
      </c>
      <c r="F22" s="62">
        <f>G22*0.0005681818</f>
        <v>9.2907247922422531</v>
      </c>
      <c r="G22" s="63">
        <f>H22*1.0936113</f>
        <v>16351.676157600001</v>
      </c>
      <c r="H22" s="131">
        <f>INT(SUM($O14:$O20))</f>
        <v>14952</v>
      </c>
      <c r="I22" s="153"/>
      <c r="J22" s="449"/>
      <c r="K22" s="451"/>
      <c r="L22" s="451"/>
      <c r="M22" s="451"/>
      <c r="N22" s="451"/>
      <c r="O22" s="259" t="str">
        <f t="shared" si="3"/>
        <v/>
      </c>
      <c r="P22" s="260"/>
      <c r="Q22" s="169">
        <f t="shared" si="4"/>
        <v>0</v>
      </c>
      <c r="R22" s="351"/>
      <c r="S22" s="368" t="str">
        <f t="shared" si="12"/>
        <v/>
      </c>
      <c r="T22" s="351"/>
      <c r="U22" s="351"/>
      <c r="V22" s="351"/>
      <c r="W22" s="351"/>
      <c r="X22" s="234"/>
      <c r="Y22" s="234"/>
      <c r="Z22" s="234"/>
      <c r="AA22" s="348">
        <f t="shared" si="8"/>
        <v>0</v>
      </c>
      <c r="AB22" s="274">
        <f t="shared" si="13"/>
        <v>0</v>
      </c>
      <c r="AC22" s="230"/>
      <c r="AD22" s="97"/>
      <c r="AE22" s="97"/>
    </row>
    <row r="23" spans="1:31" ht="16" thickTop="1">
      <c r="A23" s="1" t="s">
        <v>10</v>
      </c>
      <c r="B23" s="57">
        <f t="shared" ref="B23:B29" si="25">IF(B$2&gt;C23,0,C23)</f>
        <v>43199</v>
      </c>
      <c r="C23" s="40">
        <f>C20+1</f>
        <v>43199</v>
      </c>
      <c r="D23" s="22">
        <f t="shared" ca="1" si="1"/>
        <v>-61</v>
      </c>
      <c r="E23" s="118" t="s">
        <v>1</v>
      </c>
      <c r="F23" s="55"/>
      <c r="G23" s="56"/>
      <c r="H23" s="56"/>
      <c r="I23" s="200"/>
      <c r="J23" s="128"/>
      <c r="K23" s="201" t="str">
        <f t="shared" ref="K23" si="26">IF(R23=0,"",IF(L23="","",J23))</f>
        <v/>
      </c>
      <c r="L23" s="128"/>
      <c r="M23" s="56" t="str">
        <f>IF(R23=0,"",IF(J23="","",L23))</f>
        <v/>
      </c>
      <c r="N23" s="330"/>
      <c r="O23" s="259">
        <f t="shared" si="3"/>
        <v>2136.1383974367536</v>
      </c>
      <c r="P23" s="260">
        <f t="shared" ref="P23:P29" si="27">H$56</f>
        <v>64079.276794873505</v>
      </c>
      <c r="Q23" s="169">
        <f t="shared" si="4"/>
        <v>39.817016667517095</v>
      </c>
      <c r="R23" s="169">
        <f>IF(R$2=3,H23+G23/1.0936133+F23/0.0006213712,IF(R$2=2,H23*1.0936133+G23+F23/0.0005681818,IF(R$2=1,H23*0.0005681818*1.0936133+G23*0.0005681818+F23,"")))</f>
        <v>0</v>
      </c>
      <c r="S23" s="368" t="str">
        <f t="shared" si="12"/>
        <v/>
      </c>
      <c r="T23" s="169"/>
      <c r="U23" s="169"/>
      <c r="V23" s="170" t="str">
        <f t="shared" ref="V23:V29" si="28">IF(L23="","",IF(R23=0,"",IF(B23=0,"",IF($R$2=3,R23/L23*60/1000,IF($R$2=2,R23/L23*60/1760,IF($R$2=1,R23/L23*60,""))))))</f>
        <v/>
      </c>
      <c r="W23" s="170" t="str">
        <f t="shared" ref="W23:W29" si="29">IF(R23=0,"",IF(L23="","",V23*L23))</f>
        <v/>
      </c>
      <c r="X23" s="259">
        <f>F23+X20</f>
        <v>0</v>
      </c>
      <c r="Y23" s="259">
        <f>G23+Y20</f>
        <v>0</v>
      </c>
      <c r="Z23" s="259">
        <f>H23+Z20</f>
        <v>0</v>
      </c>
      <c r="AA23" s="348">
        <f t="shared" si="8"/>
        <v>0</v>
      </c>
      <c r="AB23" s="274">
        <f t="shared" si="13"/>
        <v>0</v>
      </c>
      <c r="AC23" s="230"/>
      <c r="AD23" s="97"/>
      <c r="AE23" s="97"/>
    </row>
    <row r="24" spans="1:31">
      <c r="A24" s="1"/>
      <c r="B24" s="5">
        <f t="shared" si="25"/>
        <v>43200</v>
      </c>
      <c r="C24" s="38">
        <f t="shared" ref="C24:C29" si="30">C23+1</f>
        <v>43200</v>
      </c>
      <c r="D24" s="7">
        <f t="shared" ca="1" si="1"/>
        <v>-62</v>
      </c>
      <c r="E24" s="114" t="s">
        <v>2</v>
      </c>
      <c r="F24" s="55"/>
      <c r="G24" s="56"/>
      <c r="H24" s="56"/>
      <c r="I24" s="200"/>
      <c r="J24" s="56"/>
      <c r="K24" s="201" t="str">
        <f>IF(R24=0,"",IF(L24="","",J24))</f>
        <v/>
      </c>
      <c r="L24" s="56"/>
      <c r="M24" s="56" t="str">
        <f t="shared" ref="M24:M29" si="31">IF(R24=0,"",IF(J24="","",L24))</f>
        <v/>
      </c>
      <c r="N24" s="324"/>
      <c r="O24" s="259">
        <f t="shared" si="3"/>
        <v>2136.1383974367536</v>
      </c>
      <c r="P24" s="260">
        <f t="shared" si="27"/>
        <v>64079.276794873505</v>
      </c>
      <c r="Q24" s="169">
        <f t="shared" si="4"/>
        <v>39.817016667517095</v>
      </c>
      <c r="R24" s="169">
        <f t="shared" ref="R24:R29" si="32">IF(R$2=3,H24+G24/1.0936133+F24/0.0006213712,IF(R$2=2,H24*1.0936133+G24+F24/0.0005681818,IF(R$2=1,H24*0.0005681818*1.0936133+G24*0.0005681818+F24,"")))</f>
        <v>0</v>
      </c>
      <c r="S24" s="368" t="str">
        <f t="shared" si="12"/>
        <v/>
      </c>
      <c r="T24" s="169"/>
      <c r="U24" s="169"/>
      <c r="V24" s="170" t="str">
        <f t="shared" si="28"/>
        <v/>
      </c>
      <c r="W24" s="170" t="str">
        <f t="shared" si="29"/>
        <v/>
      </c>
      <c r="X24" s="259">
        <f t="shared" ref="X24:Z29" si="33">F24+X23</f>
        <v>0</v>
      </c>
      <c r="Y24" s="259">
        <f t="shared" si="33"/>
        <v>0</v>
      </c>
      <c r="Z24" s="259">
        <f t="shared" si="33"/>
        <v>0</v>
      </c>
      <c r="AA24" s="348">
        <f t="shared" si="8"/>
        <v>0</v>
      </c>
      <c r="AB24" s="274">
        <f t="shared" si="13"/>
        <v>0</v>
      </c>
      <c r="AC24" s="230"/>
      <c r="AD24" s="97"/>
      <c r="AE24" s="97"/>
    </row>
    <row r="25" spans="1:31">
      <c r="A25" s="1"/>
      <c r="B25" s="5">
        <f t="shared" si="25"/>
        <v>43201</v>
      </c>
      <c r="C25" s="38">
        <f t="shared" si="30"/>
        <v>43201</v>
      </c>
      <c r="D25" s="7">
        <f t="shared" ca="1" si="1"/>
        <v>-63</v>
      </c>
      <c r="E25" s="114" t="s">
        <v>3</v>
      </c>
      <c r="F25" s="55"/>
      <c r="G25" s="56"/>
      <c r="H25" s="56"/>
      <c r="I25" s="200"/>
      <c r="J25" s="56"/>
      <c r="K25" s="201" t="str">
        <f t="shared" ref="K25:K29" si="34">IF(R25=0,"",IF(L25="","",J25))</f>
        <v/>
      </c>
      <c r="L25" s="56"/>
      <c r="M25" s="56" t="str">
        <f t="shared" si="31"/>
        <v/>
      </c>
      <c r="N25" s="324"/>
      <c r="O25" s="259">
        <f t="shared" si="3"/>
        <v>2136.1383974367536</v>
      </c>
      <c r="P25" s="260">
        <f t="shared" si="27"/>
        <v>64079.276794873505</v>
      </c>
      <c r="Q25" s="169">
        <f t="shared" si="4"/>
        <v>39.817016667517095</v>
      </c>
      <c r="R25" s="169">
        <f t="shared" si="32"/>
        <v>0</v>
      </c>
      <c r="S25" s="368" t="str">
        <f t="shared" si="12"/>
        <v/>
      </c>
      <c r="T25" s="169"/>
      <c r="U25" s="169"/>
      <c r="V25" s="170" t="str">
        <f t="shared" si="28"/>
        <v/>
      </c>
      <c r="W25" s="170" t="str">
        <f t="shared" si="29"/>
        <v/>
      </c>
      <c r="X25" s="259">
        <f t="shared" si="33"/>
        <v>0</v>
      </c>
      <c r="Y25" s="259">
        <f t="shared" si="33"/>
        <v>0</v>
      </c>
      <c r="Z25" s="259">
        <f t="shared" si="33"/>
        <v>0</v>
      </c>
      <c r="AA25" s="348">
        <f t="shared" si="8"/>
        <v>0</v>
      </c>
      <c r="AB25" s="274">
        <f t="shared" si="13"/>
        <v>0</v>
      </c>
      <c r="AC25" s="230"/>
      <c r="AD25" s="97"/>
      <c r="AE25" s="97"/>
    </row>
    <row r="26" spans="1:31">
      <c r="A26" s="1"/>
      <c r="B26" s="5">
        <f t="shared" si="25"/>
        <v>43202</v>
      </c>
      <c r="C26" s="38">
        <f t="shared" si="30"/>
        <v>43202</v>
      </c>
      <c r="D26" s="7">
        <f t="shared" ca="1" si="1"/>
        <v>-64</v>
      </c>
      <c r="E26" s="114" t="s">
        <v>4</v>
      </c>
      <c r="F26" s="55"/>
      <c r="G26" s="56"/>
      <c r="H26" s="56"/>
      <c r="I26" s="200"/>
      <c r="J26" s="56"/>
      <c r="K26" s="201" t="str">
        <f t="shared" si="34"/>
        <v/>
      </c>
      <c r="L26" s="56"/>
      <c r="M26" s="56" t="str">
        <f t="shared" si="31"/>
        <v/>
      </c>
      <c r="N26" s="324"/>
      <c r="O26" s="259">
        <f t="shared" si="3"/>
        <v>2136.1383974367536</v>
      </c>
      <c r="P26" s="260">
        <f t="shared" si="27"/>
        <v>64079.276794873505</v>
      </c>
      <c r="Q26" s="169">
        <f t="shared" si="4"/>
        <v>39.817016667517095</v>
      </c>
      <c r="R26" s="169">
        <f t="shared" si="32"/>
        <v>0</v>
      </c>
      <c r="S26" s="368" t="str">
        <f t="shared" si="12"/>
        <v/>
      </c>
      <c r="T26" s="169"/>
      <c r="U26" s="169"/>
      <c r="V26" s="170" t="str">
        <f t="shared" si="28"/>
        <v/>
      </c>
      <c r="W26" s="170" t="str">
        <f t="shared" si="29"/>
        <v/>
      </c>
      <c r="X26" s="259">
        <f t="shared" si="33"/>
        <v>0</v>
      </c>
      <c r="Y26" s="259">
        <f t="shared" si="33"/>
        <v>0</v>
      </c>
      <c r="Z26" s="259">
        <f t="shared" si="33"/>
        <v>0</v>
      </c>
      <c r="AA26" s="348">
        <f t="shared" si="8"/>
        <v>0</v>
      </c>
      <c r="AB26" s="274">
        <f t="shared" si="13"/>
        <v>0</v>
      </c>
      <c r="AC26" s="230"/>
      <c r="AD26" s="97"/>
      <c r="AE26" s="97"/>
    </row>
    <row r="27" spans="1:31">
      <c r="A27" s="1"/>
      <c r="B27" s="5">
        <f t="shared" si="25"/>
        <v>43203</v>
      </c>
      <c r="C27" s="38">
        <f t="shared" si="30"/>
        <v>43203</v>
      </c>
      <c r="D27" s="7">
        <f t="shared" ca="1" si="1"/>
        <v>-65</v>
      </c>
      <c r="E27" s="114" t="s">
        <v>5</v>
      </c>
      <c r="F27" s="55"/>
      <c r="G27" s="56"/>
      <c r="H27" s="56"/>
      <c r="I27" s="200"/>
      <c r="J27" s="56"/>
      <c r="K27" s="201" t="str">
        <f t="shared" si="34"/>
        <v/>
      </c>
      <c r="L27" s="56"/>
      <c r="M27" s="56" t="str">
        <f t="shared" si="31"/>
        <v/>
      </c>
      <c r="N27" s="324"/>
      <c r="O27" s="259">
        <f t="shared" si="3"/>
        <v>2136.1383974367536</v>
      </c>
      <c r="P27" s="260">
        <f t="shared" si="27"/>
        <v>64079.276794873505</v>
      </c>
      <c r="Q27" s="169">
        <f t="shared" si="4"/>
        <v>39.817016667517095</v>
      </c>
      <c r="R27" s="169">
        <f t="shared" si="32"/>
        <v>0</v>
      </c>
      <c r="S27" s="368" t="str">
        <f t="shared" si="12"/>
        <v/>
      </c>
      <c r="T27" s="169"/>
      <c r="U27" s="169"/>
      <c r="V27" s="170" t="str">
        <f t="shared" si="28"/>
        <v/>
      </c>
      <c r="W27" s="170" t="str">
        <f t="shared" si="29"/>
        <v/>
      </c>
      <c r="X27" s="259">
        <f t="shared" si="33"/>
        <v>0</v>
      </c>
      <c r="Y27" s="259">
        <f t="shared" si="33"/>
        <v>0</v>
      </c>
      <c r="Z27" s="259">
        <f t="shared" si="33"/>
        <v>0</v>
      </c>
      <c r="AA27" s="348">
        <f t="shared" si="8"/>
        <v>0</v>
      </c>
      <c r="AB27" s="274">
        <f t="shared" si="13"/>
        <v>0</v>
      </c>
      <c r="AC27" s="230"/>
      <c r="AD27" s="97"/>
      <c r="AE27" s="97"/>
    </row>
    <row r="28" spans="1:31">
      <c r="A28" s="1"/>
      <c r="B28" s="5">
        <f t="shared" si="25"/>
        <v>43204</v>
      </c>
      <c r="C28" s="38">
        <f t="shared" si="30"/>
        <v>43204</v>
      </c>
      <c r="D28" s="7">
        <f t="shared" ca="1" si="1"/>
        <v>-66</v>
      </c>
      <c r="E28" s="114" t="s">
        <v>6</v>
      </c>
      <c r="F28" s="55"/>
      <c r="G28" s="56"/>
      <c r="H28" s="56"/>
      <c r="I28" s="200"/>
      <c r="J28" s="56"/>
      <c r="K28" s="201" t="str">
        <f t="shared" si="34"/>
        <v/>
      </c>
      <c r="L28" s="56"/>
      <c r="M28" s="56" t="str">
        <f t="shared" si="31"/>
        <v/>
      </c>
      <c r="N28" s="324"/>
      <c r="O28" s="259">
        <f t="shared" si="3"/>
        <v>2136.1383974367536</v>
      </c>
      <c r="P28" s="260">
        <f t="shared" si="27"/>
        <v>64079.276794873505</v>
      </c>
      <c r="Q28" s="169">
        <f t="shared" si="4"/>
        <v>39.817016667517095</v>
      </c>
      <c r="R28" s="169">
        <f t="shared" si="32"/>
        <v>0</v>
      </c>
      <c r="S28" s="368" t="str">
        <f t="shared" si="12"/>
        <v/>
      </c>
      <c r="T28" s="169"/>
      <c r="U28" s="169"/>
      <c r="V28" s="170" t="str">
        <f t="shared" si="28"/>
        <v/>
      </c>
      <c r="W28" s="170" t="str">
        <f t="shared" si="29"/>
        <v/>
      </c>
      <c r="X28" s="259">
        <f t="shared" si="33"/>
        <v>0</v>
      </c>
      <c r="Y28" s="259">
        <f t="shared" si="33"/>
        <v>0</v>
      </c>
      <c r="Z28" s="259">
        <f t="shared" si="33"/>
        <v>0</v>
      </c>
      <c r="AA28" s="348">
        <f t="shared" si="8"/>
        <v>0</v>
      </c>
      <c r="AB28" s="274">
        <f t="shared" si="13"/>
        <v>0</v>
      </c>
      <c r="AC28" s="230"/>
      <c r="AD28" s="97"/>
      <c r="AE28" s="97"/>
    </row>
    <row r="29" spans="1:31" ht="16" thickBot="1">
      <c r="A29" s="1"/>
      <c r="B29" s="53">
        <f t="shared" si="25"/>
        <v>43205</v>
      </c>
      <c r="C29" s="41">
        <f t="shared" si="30"/>
        <v>43205</v>
      </c>
      <c r="D29" s="54">
        <f t="shared" ca="1" si="1"/>
        <v>-67</v>
      </c>
      <c r="E29" s="117" t="s">
        <v>7</v>
      </c>
      <c r="F29" s="55"/>
      <c r="G29" s="56"/>
      <c r="H29" s="56"/>
      <c r="I29" s="200"/>
      <c r="J29" s="56"/>
      <c r="K29" s="201" t="str">
        <f t="shared" si="34"/>
        <v/>
      </c>
      <c r="L29" s="56"/>
      <c r="M29" s="56" t="str">
        <f t="shared" si="31"/>
        <v/>
      </c>
      <c r="N29" s="329"/>
      <c r="O29" s="259">
        <f t="shared" si="3"/>
        <v>2136.1383974367536</v>
      </c>
      <c r="P29" s="260">
        <f t="shared" si="27"/>
        <v>64079.276794873505</v>
      </c>
      <c r="Q29" s="169">
        <f t="shared" si="4"/>
        <v>39.817016667517095</v>
      </c>
      <c r="R29" s="169">
        <f t="shared" si="32"/>
        <v>0</v>
      </c>
      <c r="S29" s="368" t="str">
        <f t="shared" si="12"/>
        <v/>
      </c>
      <c r="T29" s="169"/>
      <c r="U29" s="169"/>
      <c r="V29" s="170" t="str">
        <f t="shared" si="28"/>
        <v/>
      </c>
      <c r="W29" s="170" t="str">
        <f t="shared" si="29"/>
        <v/>
      </c>
      <c r="X29" s="259">
        <f t="shared" si="33"/>
        <v>0</v>
      </c>
      <c r="Y29" s="259">
        <f t="shared" si="33"/>
        <v>0</v>
      </c>
      <c r="Z29" s="259">
        <f t="shared" si="33"/>
        <v>0</v>
      </c>
      <c r="AA29" s="348">
        <f t="shared" si="8"/>
        <v>0</v>
      </c>
      <c r="AB29" s="274">
        <f t="shared" si="13"/>
        <v>0</v>
      </c>
      <c r="AC29" s="230"/>
      <c r="AD29" s="97"/>
      <c r="AE29" s="97"/>
    </row>
    <row r="30" spans="1:31" ht="16" thickTop="1">
      <c r="A30" s="29"/>
      <c r="B30" s="16"/>
      <c r="C30" s="42"/>
      <c r="D30" s="60">
        <f ca="1">TODAY()-C30</f>
        <v>43138</v>
      </c>
      <c r="E30" s="113" t="s">
        <v>76</v>
      </c>
      <c r="F30" s="59">
        <f ca="1">G30*0.000568181818</f>
        <v>-1.2427401132386871E-58</v>
      </c>
      <c r="G30" s="19">
        <f ca="1">H30*1.0936113</f>
        <v>-2.1872226000000002E-55</v>
      </c>
      <c r="H30" s="129">
        <f ca="1">IF(TODAY()&gt;=B23,(AA29-AA20)*1000,-2E-55)</f>
        <v>-2E-55</v>
      </c>
      <c r="I30" s="152"/>
      <c r="J30" s="424" t="s">
        <v>121</v>
      </c>
      <c r="K30" s="452"/>
      <c r="L30" s="452"/>
      <c r="M30" s="453"/>
      <c r="N30" s="453"/>
      <c r="O30" s="259" t="str">
        <f t="shared" si="3"/>
        <v/>
      </c>
      <c r="P30" s="260"/>
      <c r="Q30" s="169">
        <f t="shared" si="4"/>
        <v>0</v>
      </c>
      <c r="R30" s="350"/>
      <c r="S30" s="368" t="str">
        <f t="shared" si="12"/>
        <v/>
      </c>
      <c r="T30" s="350"/>
      <c r="U30" s="350"/>
      <c r="V30" s="350"/>
      <c r="W30" s="350"/>
      <c r="X30" s="234"/>
      <c r="Y30" s="234"/>
      <c r="Z30" s="234"/>
      <c r="AA30" s="348">
        <f t="shared" si="8"/>
        <v>0</v>
      </c>
      <c r="AB30" s="274">
        <f t="shared" si="13"/>
        <v>0</v>
      </c>
      <c r="AC30" s="230"/>
      <c r="AD30" s="97"/>
      <c r="AE30" s="97"/>
    </row>
    <row r="31" spans="1:31" ht="19" thickBot="1">
      <c r="A31" s="28"/>
      <c r="B31" s="17"/>
      <c r="C31" s="39"/>
      <c r="D31" s="61">
        <f ca="1">TODAY()-C31</f>
        <v>43138</v>
      </c>
      <c r="E31" s="116" t="s">
        <v>33</v>
      </c>
      <c r="F31" s="62">
        <f>G31*0.0005681818</f>
        <v>9.2907247922422531</v>
      </c>
      <c r="G31" s="63">
        <f>H31*1.0936113</f>
        <v>16351.676157600001</v>
      </c>
      <c r="H31" s="131">
        <f>INT(SUM($O23:$O29))</f>
        <v>14952</v>
      </c>
      <c r="I31" s="153"/>
      <c r="J31" s="426" t="str">
        <f>IF(R$2=1,"mph",IF(R$2=2,"mph",IF(R$2=3," km/h","????")))</f>
        <v>mph</v>
      </c>
      <c r="K31" s="454"/>
      <c r="L31" s="454"/>
      <c r="M31" s="455"/>
      <c r="N31" s="455"/>
      <c r="O31" s="259" t="str">
        <f t="shared" si="3"/>
        <v/>
      </c>
      <c r="P31" s="260"/>
      <c r="Q31" s="169">
        <f t="shared" si="4"/>
        <v>0</v>
      </c>
      <c r="R31" s="351"/>
      <c r="S31" s="368" t="str">
        <f t="shared" si="12"/>
        <v/>
      </c>
      <c r="T31" s="351"/>
      <c r="U31" s="351"/>
      <c r="V31" s="351"/>
      <c r="W31" s="351"/>
      <c r="X31" s="234"/>
      <c r="Y31" s="234"/>
      <c r="Z31" s="234"/>
      <c r="AA31" s="348">
        <f t="shared" si="8"/>
        <v>0</v>
      </c>
      <c r="AB31" s="274">
        <f t="shared" si="13"/>
        <v>0</v>
      </c>
      <c r="AC31" s="230"/>
      <c r="AD31" s="97"/>
      <c r="AE31" s="97"/>
    </row>
    <row r="32" spans="1:31" ht="16" thickTop="1">
      <c r="A32" s="1" t="s">
        <v>11</v>
      </c>
      <c r="B32" s="57">
        <f t="shared" ref="B32:B38" si="35">IF(B$2&gt;C32,0,C32)</f>
        <v>43206</v>
      </c>
      <c r="C32" s="40">
        <f>C29+1</f>
        <v>43206</v>
      </c>
      <c r="D32" s="22">
        <f t="shared" ca="1" si="1"/>
        <v>-68</v>
      </c>
      <c r="E32" s="118" t="s">
        <v>1</v>
      </c>
      <c r="F32" s="55"/>
      <c r="G32" s="56"/>
      <c r="H32" s="56"/>
      <c r="I32" s="200"/>
      <c r="J32" s="128"/>
      <c r="K32" s="201" t="str">
        <f t="shared" ref="K32" si="36">IF(R32=0,"",IF(L32="","",J32))</f>
        <v/>
      </c>
      <c r="L32" s="154"/>
      <c r="M32" s="56" t="str">
        <f>IF(R32=0,"",IF(J32="","",L32))</f>
        <v/>
      </c>
      <c r="N32" s="330"/>
      <c r="O32" s="259">
        <f t="shared" si="3"/>
        <v>2136.1383974367536</v>
      </c>
      <c r="P32" s="260">
        <f t="shared" ref="P32:P38" si="37">H$56</f>
        <v>64079.276794873505</v>
      </c>
      <c r="Q32" s="169">
        <f t="shared" si="4"/>
        <v>39.817016667517095</v>
      </c>
      <c r="R32" s="169">
        <f>IF(R$2=3,H32+G32/1.0936133+F32/0.0006213712,IF(R$2=2,H32*1.0936133+G32+F32/0.0005681818,IF(R$2=1,H32*0.0005681818*1.0936133+G32*0.0005681818+F32,"")))</f>
        <v>0</v>
      </c>
      <c r="S32" s="368" t="str">
        <f t="shared" si="12"/>
        <v/>
      </c>
      <c r="T32" s="169"/>
      <c r="U32" s="169"/>
      <c r="V32" s="170" t="str">
        <f t="shared" ref="V32:V38" si="38">IF(L32="","",IF(R32=0,"",IF(B32=0,"",IF($R$2=3,R32/L32*60/1000,IF($R$2=2,R32/L32*60/1760,IF($R$2=1,R32/L32*60,""))))))</f>
        <v/>
      </c>
      <c r="W32" s="170" t="str">
        <f t="shared" ref="W32:W38" si="39">IF(R32=0,"",IF(L32="","",V32*L32))</f>
        <v/>
      </c>
      <c r="X32" s="259">
        <f>F32+X29</f>
        <v>0</v>
      </c>
      <c r="Y32" s="259">
        <f>G32+Y29</f>
        <v>0</v>
      </c>
      <c r="Z32" s="259">
        <f>H32+Z29</f>
        <v>0</v>
      </c>
      <c r="AA32" s="348">
        <f t="shared" si="8"/>
        <v>0</v>
      </c>
      <c r="AB32" s="274">
        <f t="shared" si="13"/>
        <v>0</v>
      </c>
      <c r="AC32" s="230"/>
      <c r="AD32" s="97"/>
      <c r="AE32" s="97"/>
    </row>
    <row r="33" spans="1:31">
      <c r="A33" s="1"/>
      <c r="B33" s="5">
        <f t="shared" si="35"/>
        <v>43207</v>
      </c>
      <c r="C33" s="38">
        <f t="shared" ref="C33:C38" si="40">C32+1</f>
        <v>43207</v>
      </c>
      <c r="D33" s="7">
        <f t="shared" ca="1" si="1"/>
        <v>-69</v>
      </c>
      <c r="E33" s="114" t="s">
        <v>2</v>
      </c>
      <c r="F33" s="55"/>
      <c r="G33" s="56"/>
      <c r="H33" s="56"/>
      <c r="I33" s="200"/>
      <c r="J33" s="56"/>
      <c r="K33" s="201" t="str">
        <f>IF(R33=0,"",IF(L33="","",J33))</f>
        <v/>
      </c>
      <c r="L33" s="56"/>
      <c r="M33" s="56" t="str">
        <f t="shared" ref="M33:M38" si="41">IF(R33=0,"",IF(J33="","",L33))</f>
        <v/>
      </c>
      <c r="N33" s="324"/>
      <c r="O33" s="259">
        <f t="shared" si="3"/>
        <v>2136.1383974367536</v>
      </c>
      <c r="P33" s="260">
        <f t="shared" si="37"/>
        <v>64079.276794873505</v>
      </c>
      <c r="Q33" s="169">
        <f t="shared" si="4"/>
        <v>39.817016667517095</v>
      </c>
      <c r="R33" s="169">
        <f t="shared" ref="R33:R38" si="42">IF(R$2=3,H33+G33/1.0936133+F33/0.0006213712,IF(R$2=2,H33*1.0936133+G33+F33/0.0005681818,IF(R$2=1,H33*0.0005681818*1.0936133+G33*0.0005681818+F33,"")))</f>
        <v>0</v>
      </c>
      <c r="S33" s="368" t="str">
        <f t="shared" si="12"/>
        <v/>
      </c>
      <c r="T33" s="169"/>
      <c r="U33" s="169"/>
      <c r="V33" s="170" t="str">
        <f t="shared" si="38"/>
        <v/>
      </c>
      <c r="W33" s="170" t="str">
        <f t="shared" si="39"/>
        <v/>
      </c>
      <c r="X33" s="259">
        <f t="shared" ref="X33:Z38" si="43">F33+X32</f>
        <v>0</v>
      </c>
      <c r="Y33" s="259">
        <f t="shared" si="43"/>
        <v>0</v>
      </c>
      <c r="Z33" s="259">
        <f t="shared" si="43"/>
        <v>0</v>
      </c>
      <c r="AA33" s="348">
        <f t="shared" si="8"/>
        <v>0</v>
      </c>
      <c r="AB33" s="274">
        <f t="shared" si="13"/>
        <v>0</v>
      </c>
      <c r="AC33" s="230"/>
      <c r="AD33" s="97"/>
      <c r="AE33" s="97"/>
    </row>
    <row r="34" spans="1:31">
      <c r="A34" s="1"/>
      <c r="B34" s="5">
        <f t="shared" si="35"/>
        <v>43208</v>
      </c>
      <c r="C34" s="38">
        <f t="shared" si="40"/>
        <v>43208</v>
      </c>
      <c r="D34" s="7">
        <f t="shared" ca="1" si="1"/>
        <v>-70</v>
      </c>
      <c r="E34" s="114" t="s">
        <v>3</v>
      </c>
      <c r="F34" s="55"/>
      <c r="G34" s="56"/>
      <c r="H34" s="56"/>
      <c r="I34" s="200"/>
      <c r="J34" s="56"/>
      <c r="K34" s="201" t="str">
        <f t="shared" ref="K34:K38" si="44">IF(R34=0,"",IF(L34="","",J34))</f>
        <v/>
      </c>
      <c r="L34" s="56"/>
      <c r="M34" s="56" t="str">
        <f t="shared" si="41"/>
        <v/>
      </c>
      <c r="N34" s="324"/>
      <c r="O34" s="259">
        <f t="shared" si="3"/>
        <v>2136.1383974367536</v>
      </c>
      <c r="P34" s="260">
        <f t="shared" si="37"/>
        <v>64079.276794873505</v>
      </c>
      <c r="Q34" s="169">
        <f t="shared" si="4"/>
        <v>39.817016667517095</v>
      </c>
      <c r="R34" s="169">
        <f t="shared" si="42"/>
        <v>0</v>
      </c>
      <c r="S34" s="368" t="str">
        <f t="shared" si="12"/>
        <v/>
      </c>
      <c r="T34" s="169"/>
      <c r="U34" s="169"/>
      <c r="V34" s="170" t="str">
        <f t="shared" si="38"/>
        <v/>
      </c>
      <c r="W34" s="170" t="str">
        <f t="shared" si="39"/>
        <v/>
      </c>
      <c r="X34" s="259">
        <f t="shared" si="43"/>
        <v>0</v>
      </c>
      <c r="Y34" s="259">
        <f t="shared" si="43"/>
        <v>0</v>
      </c>
      <c r="Z34" s="259">
        <f t="shared" si="43"/>
        <v>0</v>
      </c>
      <c r="AA34" s="348">
        <f t="shared" si="8"/>
        <v>0</v>
      </c>
      <c r="AB34" s="274">
        <f t="shared" si="13"/>
        <v>0</v>
      </c>
      <c r="AC34" s="230"/>
      <c r="AD34" s="97"/>
      <c r="AE34" s="97"/>
    </row>
    <row r="35" spans="1:31">
      <c r="A35" s="1"/>
      <c r="B35" s="5">
        <f t="shared" si="35"/>
        <v>43209</v>
      </c>
      <c r="C35" s="38">
        <f t="shared" si="40"/>
        <v>43209</v>
      </c>
      <c r="D35" s="7">
        <f t="shared" ca="1" si="1"/>
        <v>-71</v>
      </c>
      <c r="E35" s="114" t="s">
        <v>4</v>
      </c>
      <c r="F35" s="55"/>
      <c r="G35" s="56"/>
      <c r="H35" s="56"/>
      <c r="I35" s="200"/>
      <c r="J35" s="56"/>
      <c r="K35" s="201" t="str">
        <f t="shared" si="44"/>
        <v/>
      </c>
      <c r="L35" s="56"/>
      <c r="M35" s="56" t="str">
        <f t="shared" si="41"/>
        <v/>
      </c>
      <c r="N35" s="324"/>
      <c r="O35" s="259">
        <f t="shared" si="3"/>
        <v>2136.1383974367536</v>
      </c>
      <c r="P35" s="260">
        <f t="shared" si="37"/>
        <v>64079.276794873505</v>
      </c>
      <c r="Q35" s="169">
        <f t="shared" si="4"/>
        <v>39.817016667517095</v>
      </c>
      <c r="R35" s="169">
        <f t="shared" si="42"/>
        <v>0</v>
      </c>
      <c r="S35" s="368" t="str">
        <f t="shared" si="12"/>
        <v/>
      </c>
      <c r="T35" s="169"/>
      <c r="U35" s="169"/>
      <c r="V35" s="170" t="str">
        <f t="shared" si="38"/>
        <v/>
      </c>
      <c r="W35" s="170" t="str">
        <f t="shared" si="39"/>
        <v/>
      </c>
      <c r="X35" s="259">
        <f t="shared" si="43"/>
        <v>0</v>
      </c>
      <c r="Y35" s="259">
        <f t="shared" si="43"/>
        <v>0</v>
      </c>
      <c r="Z35" s="259">
        <f t="shared" si="43"/>
        <v>0</v>
      </c>
      <c r="AA35" s="348">
        <f t="shared" si="8"/>
        <v>0</v>
      </c>
      <c r="AB35" s="274">
        <f t="shared" si="13"/>
        <v>0</v>
      </c>
      <c r="AC35" s="230"/>
      <c r="AD35" s="97"/>
      <c r="AE35" s="97"/>
    </row>
    <row r="36" spans="1:31">
      <c r="A36" s="1"/>
      <c r="B36" s="5">
        <f t="shared" si="35"/>
        <v>43210</v>
      </c>
      <c r="C36" s="38">
        <f t="shared" si="40"/>
        <v>43210</v>
      </c>
      <c r="D36" s="7">
        <f t="shared" ca="1" si="1"/>
        <v>-72</v>
      </c>
      <c r="E36" s="114" t="s">
        <v>5</v>
      </c>
      <c r="F36" s="55"/>
      <c r="G36" s="56"/>
      <c r="H36" s="56"/>
      <c r="I36" s="200"/>
      <c r="J36" s="56"/>
      <c r="K36" s="201" t="str">
        <f t="shared" si="44"/>
        <v/>
      </c>
      <c r="L36" s="56"/>
      <c r="M36" s="56" t="str">
        <f t="shared" si="41"/>
        <v/>
      </c>
      <c r="N36" s="324"/>
      <c r="O36" s="259">
        <f t="shared" si="3"/>
        <v>2136.1383974367536</v>
      </c>
      <c r="P36" s="260">
        <f t="shared" si="37"/>
        <v>64079.276794873505</v>
      </c>
      <c r="Q36" s="169">
        <f t="shared" si="4"/>
        <v>39.817016667517095</v>
      </c>
      <c r="R36" s="169">
        <f t="shared" si="42"/>
        <v>0</v>
      </c>
      <c r="S36" s="368" t="str">
        <f t="shared" si="12"/>
        <v/>
      </c>
      <c r="T36" s="169"/>
      <c r="U36" s="169"/>
      <c r="V36" s="170" t="str">
        <f t="shared" si="38"/>
        <v/>
      </c>
      <c r="W36" s="170" t="str">
        <f t="shared" si="39"/>
        <v/>
      </c>
      <c r="X36" s="259">
        <f t="shared" si="43"/>
        <v>0</v>
      </c>
      <c r="Y36" s="259">
        <f t="shared" si="43"/>
        <v>0</v>
      </c>
      <c r="Z36" s="259">
        <f t="shared" si="43"/>
        <v>0</v>
      </c>
      <c r="AA36" s="348">
        <f t="shared" si="8"/>
        <v>0</v>
      </c>
      <c r="AB36" s="274">
        <f t="shared" si="13"/>
        <v>0</v>
      </c>
      <c r="AC36" s="230"/>
      <c r="AD36" s="97"/>
      <c r="AE36" s="97"/>
    </row>
    <row r="37" spans="1:31">
      <c r="A37" s="1"/>
      <c r="B37" s="5">
        <f t="shared" si="35"/>
        <v>43211</v>
      </c>
      <c r="C37" s="38">
        <f t="shared" si="40"/>
        <v>43211</v>
      </c>
      <c r="D37" s="7">
        <f t="shared" ca="1" si="1"/>
        <v>-73</v>
      </c>
      <c r="E37" s="114" t="s">
        <v>6</v>
      </c>
      <c r="F37" s="55"/>
      <c r="G37" s="56"/>
      <c r="H37" s="56"/>
      <c r="I37" s="200"/>
      <c r="J37" s="56"/>
      <c r="K37" s="201" t="str">
        <f t="shared" si="44"/>
        <v/>
      </c>
      <c r="L37" s="56"/>
      <c r="M37" s="56" t="str">
        <f t="shared" si="41"/>
        <v/>
      </c>
      <c r="N37" s="324"/>
      <c r="O37" s="259">
        <f t="shared" si="3"/>
        <v>2136.1383974367536</v>
      </c>
      <c r="P37" s="260">
        <f t="shared" si="37"/>
        <v>64079.276794873505</v>
      </c>
      <c r="Q37" s="169">
        <f t="shared" si="4"/>
        <v>39.817016667517095</v>
      </c>
      <c r="R37" s="169">
        <f t="shared" si="42"/>
        <v>0</v>
      </c>
      <c r="S37" s="368" t="str">
        <f t="shared" si="12"/>
        <v/>
      </c>
      <c r="T37" s="169"/>
      <c r="U37" s="169"/>
      <c r="V37" s="170" t="str">
        <f t="shared" si="38"/>
        <v/>
      </c>
      <c r="W37" s="170" t="str">
        <f t="shared" si="39"/>
        <v/>
      </c>
      <c r="X37" s="259">
        <f t="shared" si="43"/>
        <v>0</v>
      </c>
      <c r="Y37" s="259">
        <f t="shared" si="43"/>
        <v>0</v>
      </c>
      <c r="Z37" s="259">
        <f t="shared" si="43"/>
        <v>0</v>
      </c>
      <c r="AA37" s="348">
        <f t="shared" si="8"/>
        <v>0</v>
      </c>
      <c r="AB37" s="274">
        <f t="shared" si="13"/>
        <v>0</v>
      </c>
      <c r="AC37" s="230"/>
      <c r="AD37" s="97"/>
      <c r="AE37" s="97"/>
    </row>
    <row r="38" spans="1:31" ht="16" thickBot="1">
      <c r="A38" s="1"/>
      <c r="B38" s="53">
        <f t="shared" si="35"/>
        <v>43212</v>
      </c>
      <c r="C38" s="41">
        <f t="shared" si="40"/>
        <v>43212</v>
      </c>
      <c r="D38" s="54">
        <f t="shared" ca="1" si="1"/>
        <v>-74</v>
      </c>
      <c r="E38" s="117" t="s">
        <v>7</v>
      </c>
      <c r="F38" s="55"/>
      <c r="G38" s="56"/>
      <c r="H38" s="56"/>
      <c r="I38" s="200"/>
      <c r="J38" s="56"/>
      <c r="K38" s="201" t="str">
        <f t="shared" si="44"/>
        <v/>
      </c>
      <c r="L38" s="56"/>
      <c r="M38" s="56" t="str">
        <f t="shared" si="41"/>
        <v/>
      </c>
      <c r="N38" s="329"/>
      <c r="O38" s="259">
        <f t="shared" si="3"/>
        <v>2136.1383974367536</v>
      </c>
      <c r="P38" s="260">
        <f t="shared" si="37"/>
        <v>64079.276794873505</v>
      </c>
      <c r="Q38" s="169">
        <f t="shared" si="4"/>
        <v>39.817016667517095</v>
      </c>
      <c r="R38" s="169">
        <f t="shared" si="42"/>
        <v>0</v>
      </c>
      <c r="S38" s="368" t="str">
        <f t="shared" si="12"/>
        <v/>
      </c>
      <c r="T38" s="169"/>
      <c r="U38" s="169"/>
      <c r="V38" s="170" t="str">
        <f t="shared" si="38"/>
        <v/>
      </c>
      <c r="W38" s="170" t="str">
        <f t="shared" si="39"/>
        <v/>
      </c>
      <c r="X38" s="259">
        <f t="shared" si="43"/>
        <v>0</v>
      </c>
      <c r="Y38" s="259">
        <f t="shared" si="43"/>
        <v>0</v>
      </c>
      <c r="Z38" s="259">
        <f t="shared" si="43"/>
        <v>0</v>
      </c>
      <c r="AA38" s="348">
        <f t="shared" si="8"/>
        <v>0</v>
      </c>
      <c r="AB38" s="274">
        <f t="shared" si="13"/>
        <v>0</v>
      </c>
      <c r="AC38" s="230"/>
      <c r="AD38" s="97"/>
      <c r="AE38" s="97"/>
    </row>
    <row r="39" spans="1:31" ht="16" thickTop="1">
      <c r="A39" s="29"/>
      <c r="B39" s="16"/>
      <c r="C39" s="42"/>
      <c r="D39" s="60">
        <f ca="1">TODAY()-C39</f>
        <v>43138</v>
      </c>
      <c r="E39" s="113" t="s">
        <v>76</v>
      </c>
      <c r="F39" s="59">
        <f ca="1">G39*0.000568181818</f>
        <v>-1.2427401132386871E-58</v>
      </c>
      <c r="G39" s="19">
        <f ca="1">H39*1.0936113</f>
        <v>-2.1872226000000002E-55</v>
      </c>
      <c r="H39" s="20">
        <f ca="1">IF(TODAY()&gt;=B32,(AA38-AA29)*1000,-2E-55)</f>
        <v>-2E-55</v>
      </c>
      <c r="I39" s="152"/>
      <c r="J39" s="218" t="s">
        <v>137</v>
      </c>
      <c r="K39" s="155"/>
      <c r="L39" s="219" t="s">
        <v>138</v>
      </c>
      <c r="M39" s="155"/>
      <c r="N39" s="331" t="s">
        <v>139</v>
      </c>
      <c r="O39" s="259" t="str">
        <f t="shared" si="3"/>
        <v/>
      </c>
      <c r="P39" s="260"/>
      <c r="Q39" s="169">
        <f t="shared" si="4"/>
        <v>0</v>
      </c>
      <c r="R39" s="350"/>
      <c r="S39" s="368" t="str">
        <f t="shared" si="12"/>
        <v/>
      </c>
      <c r="T39" s="350"/>
      <c r="U39" s="350"/>
      <c r="V39" s="350"/>
      <c r="W39" s="350"/>
      <c r="X39" s="234"/>
      <c r="Y39" s="234"/>
      <c r="Z39" s="234"/>
      <c r="AA39" s="348">
        <f t="shared" si="8"/>
        <v>0</v>
      </c>
      <c r="AB39" s="274">
        <f t="shared" si="13"/>
        <v>0</v>
      </c>
      <c r="AC39" s="230"/>
      <c r="AD39" s="97"/>
      <c r="AE39" s="97"/>
    </row>
    <row r="40" spans="1:31" ht="16" thickBot="1">
      <c r="A40" s="28"/>
      <c r="B40" s="17"/>
      <c r="C40" s="39"/>
      <c r="D40" s="61">
        <f ca="1">TODAY()-C40</f>
        <v>43138</v>
      </c>
      <c r="E40" s="116" t="s">
        <v>33</v>
      </c>
      <c r="F40" s="62">
        <f>G40*0.0005681818</f>
        <v>9.2907247922422531</v>
      </c>
      <c r="G40" s="63">
        <f>H40*1.0936113</f>
        <v>16351.676157600001</v>
      </c>
      <c r="H40" s="6">
        <f>INT(SUM($O32:$O38))</f>
        <v>14952</v>
      </c>
      <c r="I40" s="153"/>
      <c r="J40" s="156"/>
      <c r="K40" s="157"/>
      <c r="L40" s="217">
        <f>COUNT(S5:S51)-COUNT(V5:V51)</f>
        <v>0</v>
      </c>
      <c r="M40" s="157"/>
      <c r="N40" s="157"/>
      <c r="O40" s="259" t="str">
        <f t="shared" si="3"/>
        <v/>
      </c>
      <c r="P40" s="260"/>
      <c r="Q40" s="169">
        <f t="shared" si="4"/>
        <v>0</v>
      </c>
      <c r="R40" s="351"/>
      <c r="S40" s="368" t="str">
        <f t="shared" si="12"/>
        <v/>
      </c>
      <c r="T40" s="351"/>
      <c r="U40" s="351"/>
      <c r="V40" s="351"/>
      <c r="W40" s="351"/>
      <c r="X40" s="234"/>
      <c r="Y40" s="234"/>
      <c r="Z40" s="234"/>
      <c r="AA40" s="348">
        <f t="shared" si="8"/>
        <v>0</v>
      </c>
      <c r="AB40" s="274">
        <f t="shared" si="13"/>
        <v>0</v>
      </c>
      <c r="AC40" s="230"/>
      <c r="AD40" s="97"/>
      <c r="AE40" s="97"/>
    </row>
    <row r="41" spans="1:31" ht="16" thickTop="1">
      <c r="A41" s="1" t="s">
        <v>12</v>
      </c>
      <c r="B41" s="57">
        <f t="shared" ref="B41:B47" si="45">IF(B$3&lt;C41,0,C41)</f>
        <v>43213</v>
      </c>
      <c r="C41" s="40">
        <f>C38+1</f>
        <v>43213</v>
      </c>
      <c r="D41" s="22">
        <f t="shared" ca="1" si="1"/>
        <v>-75</v>
      </c>
      <c r="E41" s="118" t="str">
        <f>IF(B41=0,"","Monday")</f>
        <v>Monday</v>
      </c>
      <c r="F41" s="55"/>
      <c r="G41" s="56"/>
      <c r="H41" s="56"/>
      <c r="I41" s="200"/>
      <c r="J41" s="128"/>
      <c r="K41" s="201" t="str">
        <f t="shared" ref="K41" si="46">IF(R41=0,"",IF(L41="","",J41))</f>
        <v/>
      </c>
      <c r="L41" s="128"/>
      <c r="M41" s="56" t="str">
        <f>IF(R41=0,"",IF(J41="","",L41))</f>
        <v/>
      </c>
      <c r="N41" s="330"/>
      <c r="O41" s="259">
        <f t="shared" si="3"/>
        <v>2136.1383974367536</v>
      </c>
      <c r="P41" s="260">
        <f t="shared" ref="P41:P47" si="47">H$56</f>
        <v>64079.276794873505</v>
      </c>
      <c r="Q41" s="169">
        <f t="shared" si="4"/>
        <v>39.817016667517095</v>
      </c>
      <c r="R41" s="169">
        <f>IF(R$2=3,H41+G41/1.0936133+F41/0.0006213712,IF(R$2=2,H41*1.0936133+G41+F41/0.0005681818,IF(R$2=1,H41*0.0005681818*1.0936133+G41*0.0005681818+F41,"")))</f>
        <v>0</v>
      </c>
      <c r="S41" s="368" t="str">
        <f t="shared" si="12"/>
        <v/>
      </c>
      <c r="T41" s="169"/>
      <c r="U41" s="169"/>
      <c r="V41" s="170" t="str">
        <f t="shared" ref="V41:V47" si="48">IF(L41="","",IF(R41=0,"",IF(B41=0,"",IF($R$2=3,R41/L41*60/1000,IF($R$2=2,R41/L41*60/1760,IF($R$2=1,R41/L41*60,""))))))</f>
        <v/>
      </c>
      <c r="W41" s="170" t="str">
        <f t="shared" ref="W41:W47" si="49">IF(R41=0,"",IF(L41="","",V41*L41))</f>
        <v/>
      </c>
      <c r="X41" s="259">
        <f>F41+X38</f>
        <v>0</v>
      </c>
      <c r="Y41" s="259">
        <f>G41+Y38</f>
        <v>0</v>
      </c>
      <c r="Z41" s="259">
        <f>H41+Z38</f>
        <v>0</v>
      </c>
      <c r="AA41" s="348">
        <f t="shared" si="8"/>
        <v>0</v>
      </c>
      <c r="AB41" s="274">
        <f t="shared" si="13"/>
        <v>0</v>
      </c>
      <c r="AC41" s="230"/>
      <c r="AD41" s="97"/>
      <c r="AE41" s="97"/>
    </row>
    <row r="42" spans="1:31">
      <c r="A42" s="1"/>
      <c r="B42" s="5">
        <f t="shared" si="45"/>
        <v>43214</v>
      </c>
      <c r="C42" s="38">
        <f t="shared" ref="C42:C47" si="50">C41+1</f>
        <v>43214</v>
      </c>
      <c r="D42" s="7">
        <f t="shared" ca="1" si="1"/>
        <v>-76</v>
      </c>
      <c r="E42" s="114" t="str">
        <f>IF(B42=0,"","Tuesday")</f>
        <v>Tuesday</v>
      </c>
      <c r="F42" s="55"/>
      <c r="G42" s="56"/>
      <c r="H42" s="56"/>
      <c r="I42" s="200"/>
      <c r="J42" s="56"/>
      <c r="K42" s="201" t="str">
        <f>IF(R42=0,"",IF(L42="","",J42))</f>
        <v/>
      </c>
      <c r="L42" s="56"/>
      <c r="M42" s="56" t="str">
        <f t="shared" ref="M42:M47" si="51">IF(R42=0,"",IF(J42="","",L42))</f>
        <v/>
      </c>
      <c r="N42" s="324"/>
      <c r="O42" s="259">
        <f t="shared" si="3"/>
        <v>2136.1383974367536</v>
      </c>
      <c r="P42" s="260">
        <f t="shared" si="47"/>
        <v>64079.276794873505</v>
      </c>
      <c r="Q42" s="169">
        <f t="shared" si="4"/>
        <v>39.817016667517095</v>
      </c>
      <c r="R42" s="169">
        <f t="shared" ref="R42:R47" si="52">IF(R$2=3,H42+G42/1.0936133+F42/0.0006213712,IF(R$2=2,H42*1.0936133+G42+F42/0.0005681818,IF(R$2=1,H42*0.0005681818*1.0936133+G42*0.0005681818+F42,"")))</f>
        <v>0</v>
      </c>
      <c r="S42" s="368" t="str">
        <f t="shared" si="12"/>
        <v/>
      </c>
      <c r="T42" s="169"/>
      <c r="U42" s="169"/>
      <c r="V42" s="170" t="str">
        <f t="shared" si="48"/>
        <v/>
      </c>
      <c r="W42" s="170" t="str">
        <f t="shared" si="49"/>
        <v/>
      </c>
      <c r="X42" s="259">
        <f t="shared" ref="X42:Z47" si="53">F42+X41</f>
        <v>0</v>
      </c>
      <c r="Y42" s="259">
        <f t="shared" si="53"/>
        <v>0</v>
      </c>
      <c r="Z42" s="259">
        <f t="shared" si="53"/>
        <v>0</v>
      </c>
      <c r="AA42" s="348">
        <f t="shared" si="8"/>
        <v>0</v>
      </c>
      <c r="AB42" s="274">
        <f t="shared" si="13"/>
        <v>0</v>
      </c>
      <c r="AC42" s="230"/>
      <c r="AD42" s="97"/>
      <c r="AE42" s="97"/>
    </row>
    <row r="43" spans="1:31">
      <c r="A43" s="1"/>
      <c r="B43" s="5">
        <f t="shared" si="45"/>
        <v>43215</v>
      </c>
      <c r="C43" s="38">
        <f t="shared" si="50"/>
        <v>43215</v>
      </c>
      <c r="D43" s="7">
        <f t="shared" ca="1" si="1"/>
        <v>-77</v>
      </c>
      <c r="E43" s="114" t="str">
        <f>IF(B43=0,"","Wednesday")</f>
        <v>Wednesday</v>
      </c>
      <c r="F43" s="55"/>
      <c r="G43" s="56"/>
      <c r="H43" s="56"/>
      <c r="I43" s="200"/>
      <c r="J43" s="56"/>
      <c r="K43" s="201" t="str">
        <f t="shared" ref="K43:K47" si="54">IF(R43=0,"",IF(L43="","",J43))</f>
        <v/>
      </c>
      <c r="L43" s="56"/>
      <c r="M43" s="56" t="str">
        <f t="shared" si="51"/>
        <v/>
      </c>
      <c r="N43" s="324"/>
      <c r="O43" s="259">
        <f t="shared" si="3"/>
        <v>2136.1383974367536</v>
      </c>
      <c r="P43" s="260">
        <f t="shared" si="47"/>
        <v>64079.276794873505</v>
      </c>
      <c r="Q43" s="169">
        <f t="shared" si="4"/>
        <v>39.817016667517095</v>
      </c>
      <c r="R43" s="169">
        <f t="shared" si="52"/>
        <v>0</v>
      </c>
      <c r="S43" s="368" t="str">
        <f t="shared" si="12"/>
        <v/>
      </c>
      <c r="T43" s="169"/>
      <c r="U43" s="169"/>
      <c r="V43" s="170" t="str">
        <f t="shared" si="48"/>
        <v/>
      </c>
      <c r="W43" s="170" t="str">
        <f t="shared" si="49"/>
        <v/>
      </c>
      <c r="X43" s="259">
        <f t="shared" si="53"/>
        <v>0</v>
      </c>
      <c r="Y43" s="259">
        <f t="shared" si="53"/>
        <v>0</v>
      </c>
      <c r="Z43" s="259">
        <f t="shared" si="53"/>
        <v>0</v>
      </c>
      <c r="AA43" s="348">
        <f t="shared" si="8"/>
        <v>0</v>
      </c>
      <c r="AB43" s="274">
        <f t="shared" si="13"/>
        <v>0</v>
      </c>
      <c r="AC43" s="230"/>
      <c r="AD43" s="97"/>
      <c r="AE43" s="97"/>
    </row>
    <row r="44" spans="1:31">
      <c r="A44" s="1"/>
      <c r="B44" s="5">
        <f t="shared" si="45"/>
        <v>43216</v>
      </c>
      <c r="C44" s="38">
        <f t="shared" si="50"/>
        <v>43216</v>
      </c>
      <c r="D44" s="7">
        <f t="shared" ca="1" si="1"/>
        <v>-78</v>
      </c>
      <c r="E44" s="114" t="str">
        <f>IF(B44=0,"","Thursday")</f>
        <v>Thursday</v>
      </c>
      <c r="F44" s="55"/>
      <c r="G44" s="56"/>
      <c r="H44" s="56"/>
      <c r="I44" s="200"/>
      <c r="J44" s="56"/>
      <c r="K44" s="201" t="str">
        <f t="shared" si="54"/>
        <v/>
      </c>
      <c r="L44" s="56"/>
      <c r="M44" s="56" t="str">
        <f t="shared" si="51"/>
        <v/>
      </c>
      <c r="N44" s="324"/>
      <c r="O44" s="259">
        <f t="shared" si="3"/>
        <v>2136.1383974367536</v>
      </c>
      <c r="P44" s="260">
        <f t="shared" si="47"/>
        <v>64079.276794873505</v>
      </c>
      <c r="Q44" s="169">
        <f t="shared" si="4"/>
        <v>39.817016667517095</v>
      </c>
      <c r="R44" s="169">
        <f t="shared" si="52"/>
        <v>0</v>
      </c>
      <c r="S44" s="368" t="str">
        <f t="shared" si="12"/>
        <v/>
      </c>
      <c r="T44" s="169"/>
      <c r="U44" s="169"/>
      <c r="V44" s="170" t="str">
        <f t="shared" si="48"/>
        <v/>
      </c>
      <c r="W44" s="170" t="str">
        <f t="shared" si="49"/>
        <v/>
      </c>
      <c r="X44" s="259">
        <f t="shared" si="53"/>
        <v>0</v>
      </c>
      <c r="Y44" s="259">
        <f t="shared" si="53"/>
        <v>0</v>
      </c>
      <c r="Z44" s="259">
        <f t="shared" si="53"/>
        <v>0</v>
      </c>
      <c r="AA44" s="348">
        <f t="shared" si="8"/>
        <v>0</v>
      </c>
      <c r="AB44" s="274">
        <f t="shared" si="13"/>
        <v>0</v>
      </c>
      <c r="AC44" s="352"/>
      <c r="AD44" s="173"/>
      <c r="AE44" s="97"/>
    </row>
    <row r="45" spans="1:31">
      <c r="A45" s="1"/>
      <c r="B45" s="5">
        <f t="shared" si="45"/>
        <v>43217</v>
      </c>
      <c r="C45" s="38">
        <f t="shared" si="50"/>
        <v>43217</v>
      </c>
      <c r="D45" s="7">
        <f t="shared" ca="1" si="1"/>
        <v>-79</v>
      </c>
      <c r="E45" s="114" t="str">
        <f>IF(B45=0,"","Friday")</f>
        <v>Friday</v>
      </c>
      <c r="F45" s="55"/>
      <c r="G45" s="56"/>
      <c r="H45" s="56"/>
      <c r="I45" s="200"/>
      <c r="J45" s="56"/>
      <c r="K45" s="201" t="str">
        <f t="shared" si="54"/>
        <v/>
      </c>
      <c r="L45" s="56"/>
      <c r="M45" s="56" t="str">
        <f t="shared" si="51"/>
        <v/>
      </c>
      <c r="N45" s="324"/>
      <c r="O45" s="259">
        <f t="shared" si="3"/>
        <v>2136.1383974367536</v>
      </c>
      <c r="P45" s="260">
        <f t="shared" si="47"/>
        <v>64079.276794873505</v>
      </c>
      <c r="Q45" s="169">
        <f t="shared" si="4"/>
        <v>39.817016667517095</v>
      </c>
      <c r="R45" s="169">
        <f t="shared" si="52"/>
        <v>0</v>
      </c>
      <c r="S45" s="368" t="str">
        <f t="shared" si="12"/>
        <v/>
      </c>
      <c r="T45" s="169"/>
      <c r="U45" s="169"/>
      <c r="V45" s="170" t="str">
        <f t="shared" si="48"/>
        <v/>
      </c>
      <c r="W45" s="170" t="str">
        <f t="shared" si="49"/>
        <v/>
      </c>
      <c r="X45" s="259">
        <f t="shared" si="53"/>
        <v>0</v>
      </c>
      <c r="Y45" s="259">
        <f t="shared" si="53"/>
        <v>0</v>
      </c>
      <c r="Z45" s="259">
        <f t="shared" si="53"/>
        <v>0</v>
      </c>
      <c r="AA45" s="348">
        <f t="shared" si="8"/>
        <v>0</v>
      </c>
      <c r="AB45" s="274">
        <f t="shared" si="13"/>
        <v>0</v>
      </c>
      <c r="AC45" s="230"/>
      <c r="AD45" s="97"/>
      <c r="AE45" s="97"/>
    </row>
    <row r="46" spans="1:31">
      <c r="A46" s="1"/>
      <c r="B46" s="5">
        <f t="shared" si="45"/>
        <v>43218</v>
      </c>
      <c r="C46" s="38">
        <f t="shared" si="50"/>
        <v>43218</v>
      </c>
      <c r="D46" s="7">
        <f t="shared" ca="1" si="1"/>
        <v>-80</v>
      </c>
      <c r="E46" s="114" t="str">
        <f>IF(B46=0,"","Saturday")</f>
        <v>Saturday</v>
      </c>
      <c r="F46" s="55"/>
      <c r="G46" s="56"/>
      <c r="H46" s="56"/>
      <c r="I46" s="200"/>
      <c r="J46" s="56"/>
      <c r="K46" s="201" t="str">
        <f t="shared" si="54"/>
        <v/>
      </c>
      <c r="L46" s="56"/>
      <c r="M46" s="56" t="str">
        <f t="shared" si="51"/>
        <v/>
      </c>
      <c r="N46" s="324"/>
      <c r="O46" s="259">
        <f t="shared" si="3"/>
        <v>2136.1383974367536</v>
      </c>
      <c r="P46" s="260">
        <f t="shared" si="47"/>
        <v>64079.276794873505</v>
      </c>
      <c r="Q46" s="169">
        <f t="shared" si="4"/>
        <v>39.817016667517095</v>
      </c>
      <c r="R46" s="169">
        <f t="shared" si="52"/>
        <v>0</v>
      </c>
      <c r="S46" s="368" t="str">
        <f t="shared" si="12"/>
        <v/>
      </c>
      <c r="T46" s="169"/>
      <c r="U46" s="169"/>
      <c r="V46" s="170" t="str">
        <f t="shared" si="48"/>
        <v/>
      </c>
      <c r="W46" s="170" t="str">
        <f t="shared" si="49"/>
        <v/>
      </c>
      <c r="X46" s="259">
        <f t="shared" si="53"/>
        <v>0</v>
      </c>
      <c r="Y46" s="259">
        <f t="shared" si="53"/>
        <v>0</v>
      </c>
      <c r="Z46" s="259">
        <f t="shared" si="53"/>
        <v>0</v>
      </c>
      <c r="AA46" s="348">
        <f t="shared" si="8"/>
        <v>0</v>
      </c>
      <c r="AB46" s="274">
        <f t="shared" si="13"/>
        <v>0</v>
      </c>
      <c r="AC46" s="230"/>
      <c r="AD46" s="97"/>
      <c r="AE46" s="97"/>
    </row>
    <row r="47" spans="1:31" ht="16" thickBot="1">
      <c r="A47" s="1"/>
      <c r="B47" s="53">
        <f t="shared" si="45"/>
        <v>43219</v>
      </c>
      <c r="C47" s="41">
        <f t="shared" si="50"/>
        <v>43219</v>
      </c>
      <c r="D47" s="54">
        <f t="shared" ca="1" si="1"/>
        <v>-81</v>
      </c>
      <c r="E47" s="117" t="str">
        <f>IF(B47=0,"","Sunday")</f>
        <v>Sunday</v>
      </c>
      <c r="F47" s="55"/>
      <c r="G47" s="56"/>
      <c r="H47" s="56"/>
      <c r="I47" s="200"/>
      <c r="J47" s="56"/>
      <c r="K47" s="201" t="str">
        <f t="shared" si="54"/>
        <v/>
      </c>
      <c r="L47" s="56"/>
      <c r="M47" s="56" t="str">
        <f t="shared" si="51"/>
        <v/>
      </c>
      <c r="N47" s="329"/>
      <c r="O47" s="259">
        <f t="shared" si="3"/>
        <v>2136.1383974367536</v>
      </c>
      <c r="P47" s="260">
        <f t="shared" si="47"/>
        <v>64079.276794873505</v>
      </c>
      <c r="Q47" s="169">
        <f t="shared" si="4"/>
        <v>39.817016667517095</v>
      </c>
      <c r="R47" s="169">
        <f t="shared" si="52"/>
        <v>0</v>
      </c>
      <c r="S47" s="368" t="str">
        <f t="shared" si="12"/>
        <v/>
      </c>
      <c r="T47" s="169"/>
      <c r="U47" s="169"/>
      <c r="V47" s="170" t="str">
        <f t="shared" si="48"/>
        <v/>
      </c>
      <c r="W47" s="170" t="str">
        <f t="shared" si="49"/>
        <v/>
      </c>
      <c r="X47" s="259">
        <f t="shared" si="53"/>
        <v>0</v>
      </c>
      <c r="Y47" s="259">
        <f t="shared" si="53"/>
        <v>0</v>
      </c>
      <c r="Z47" s="259">
        <f t="shared" si="53"/>
        <v>0</v>
      </c>
      <c r="AA47" s="348">
        <f t="shared" si="8"/>
        <v>0</v>
      </c>
      <c r="AB47" s="274">
        <f t="shared" si="13"/>
        <v>0</v>
      </c>
      <c r="AC47" s="230"/>
      <c r="AD47" s="97"/>
      <c r="AE47" s="97"/>
    </row>
    <row r="48" spans="1:31" ht="16" thickTop="1">
      <c r="A48" s="29"/>
      <c r="B48" s="16"/>
      <c r="C48" s="42"/>
      <c r="D48" s="60">
        <f ca="1">TODAY()-C48</f>
        <v>43138</v>
      </c>
      <c r="E48" s="113" t="s">
        <v>76</v>
      </c>
      <c r="F48" s="59">
        <f ca="1">G48*0.000568181818</f>
        <v>-1.2427401132386871E-58</v>
      </c>
      <c r="G48" s="19">
        <f ca="1">H48*1.0936113</f>
        <v>-2.1872226000000002E-55</v>
      </c>
      <c r="H48" s="20">
        <f ca="1">IF(SUM(B41:B47)=0,-1E-55,IF(TODAY()&gt;=B$41,(AA47-AA38)*1000,-2E-55))</f>
        <v>-2E-55</v>
      </c>
      <c r="I48" s="152"/>
      <c r="J48" s="432" t="s">
        <v>121</v>
      </c>
      <c r="K48" s="456"/>
      <c r="L48" s="456"/>
      <c r="M48" s="457"/>
      <c r="N48" s="457"/>
      <c r="O48" s="259" t="str">
        <f t="shared" si="3"/>
        <v/>
      </c>
      <c r="P48" s="230"/>
      <c r="Q48" s="169">
        <f t="shared" si="4"/>
        <v>0</v>
      </c>
      <c r="R48" s="350"/>
      <c r="S48" s="368" t="str">
        <f t="shared" si="12"/>
        <v/>
      </c>
      <c r="T48" s="350"/>
      <c r="U48" s="350"/>
      <c r="V48" s="350"/>
      <c r="W48" s="350"/>
      <c r="X48" s="259"/>
      <c r="Y48" s="259" t="str">
        <f>IF(A48=0,"",G48+Y36)</f>
        <v/>
      </c>
      <c r="Z48" s="259" t="str">
        <f>IF(B48=0,"",H48+Z36)</f>
        <v/>
      </c>
      <c r="AA48" s="348"/>
      <c r="AB48" s="274">
        <f t="shared" si="13"/>
        <v>0</v>
      </c>
      <c r="AC48" s="230"/>
      <c r="AD48" s="97"/>
      <c r="AE48" s="97"/>
    </row>
    <row r="49" spans="1:54" ht="19" thickBot="1">
      <c r="A49" s="28"/>
      <c r="B49" s="17"/>
      <c r="C49" s="39"/>
      <c r="D49" s="61">
        <f ca="1">TODAY()-C49</f>
        <v>43138</v>
      </c>
      <c r="E49" s="116" t="s">
        <v>33</v>
      </c>
      <c r="F49" s="62">
        <f>G49*0.0005681818</f>
        <v>9.2907247922422531</v>
      </c>
      <c r="G49" s="63">
        <f>H49*1.0936113</f>
        <v>16351.676157600001</v>
      </c>
      <c r="H49" s="6">
        <f>INT(SUM($O41:$O47))</f>
        <v>14952</v>
      </c>
      <c r="I49" s="153"/>
      <c r="J49" s="434" t="str">
        <f>IF(R$2=1,"MILES",IF(R$2=2,"YARDS",IF(R$2=3,"METRES","????")))</f>
        <v>MILES</v>
      </c>
      <c r="K49" s="441"/>
      <c r="L49" s="441"/>
      <c r="M49" s="442"/>
      <c r="N49" s="442"/>
      <c r="O49" s="259" t="str">
        <f t="shared" si="3"/>
        <v/>
      </c>
      <c r="P49" s="234"/>
      <c r="Q49" s="169">
        <f t="shared" si="4"/>
        <v>0</v>
      </c>
      <c r="R49" s="351"/>
      <c r="S49" s="368" t="str">
        <f t="shared" si="12"/>
        <v/>
      </c>
      <c r="T49" s="351"/>
      <c r="U49" s="351"/>
      <c r="V49" s="351"/>
      <c r="W49" s="351"/>
      <c r="X49" s="259"/>
      <c r="Y49" s="259" t="str">
        <f>IF(A49=0,"",G49+Y37)</f>
        <v/>
      </c>
      <c r="Z49" s="259" t="str">
        <f>IF(B49=0,"",H49+Z37)</f>
        <v/>
      </c>
      <c r="AA49" s="348"/>
      <c r="AB49" s="274">
        <f t="shared" si="13"/>
        <v>0</v>
      </c>
      <c r="AC49" s="234"/>
      <c r="AD49" s="172"/>
      <c r="AE49" s="172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</row>
    <row r="50" spans="1:54" ht="16" thickTop="1">
      <c r="A50" s="1" t="s">
        <v>22</v>
      </c>
      <c r="B50" s="57">
        <f t="shared" ref="B50:B51" si="55">IF(B$3&lt;C50,0,C50)</f>
        <v>43220</v>
      </c>
      <c r="C50" s="40">
        <f>C47+1</f>
        <v>43220</v>
      </c>
      <c r="D50" s="22">
        <f t="shared" ca="1" si="1"/>
        <v>-82</v>
      </c>
      <c r="E50" s="118" t="str">
        <f>IF(B50=0,"","Monday")</f>
        <v>Monday</v>
      </c>
      <c r="F50" s="55"/>
      <c r="G50" s="56"/>
      <c r="H50" s="56"/>
      <c r="I50" s="200"/>
      <c r="J50" s="128"/>
      <c r="K50" s="201" t="str">
        <f t="shared" ref="K50" si="56">IF(R50=0,"",IF(L50="","",J50))</f>
        <v/>
      </c>
      <c r="L50" s="128"/>
      <c r="M50" s="56" t="str">
        <f>IF(R50=0,"",IF(J50="","",L50))</f>
        <v/>
      </c>
      <c r="N50" s="330"/>
      <c r="O50" s="259">
        <f t="shared" si="3"/>
        <v>2136.1383974367536</v>
      </c>
      <c r="P50" s="260">
        <f>H$56</f>
        <v>64079.276794873505</v>
      </c>
      <c r="Q50" s="169">
        <f t="shared" si="4"/>
        <v>39.817016667517095</v>
      </c>
      <c r="R50" s="169">
        <f>IF(R$2=3,H50+G50/1.0936133+F50/0.0006213712,IF(R$2=2,H50*1.0936133+G50+F50/0.0005681818,IF(R$2=1,H50*0.0005681818*1.0936133+G50*0.0005681818+F50,"")))</f>
        <v>0</v>
      </c>
      <c r="S50" s="368" t="str">
        <f t="shared" si="12"/>
        <v/>
      </c>
      <c r="T50" s="169"/>
      <c r="U50" s="169"/>
      <c r="V50" s="170" t="str">
        <f>IF(L50="","",IF(R50=0,"",IF(B50=0,"",IF($R$2=3,R50/L50*60/1000,IF($R$2=2,R50/L50*60/1760,IF($R$2=1,R50/L50*60,""))))))</f>
        <v/>
      </c>
      <c r="W50" s="170" t="str">
        <f>IF(R50=0,"",IF(L50="","",V50*L50))</f>
        <v/>
      </c>
      <c r="X50" s="259">
        <f>F50+X47</f>
        <v>0</v>
      </c>
      <c r="Y50" s="259">
        <f>G50+Y47</f>
        <v>0</v>
      </c>
      <c r="Z50" s="259">
        <f>H50+Z47</f>
        <v>0</v>
      </c>
      <c r="AA50" s="348">
        <f t="shared" si="8"/>
        <v>0</v>
      </c>
      <c r="AB50" s="274">
        <f t="shared" si="13"/>
        <v>0</v>
      </c>
      <c r="AC50" s="230"/>
      <c r="AD50" s="97"/>
      <c r="AE50" s="97"/>
    </row>
    <row r="51" spans="1:54" ht="16" thickBot="1">
      <c r="A51" s="1"/>
      <c r="B51" s="5">
        <f t="shared" si="55"/>
        <v>0</v>
      </c>
      <c r="C51" s="38">
        <f t="shared" ref="C51" si="57">C50+1</f>
        <v>43221</v>
      </c>
      <c r="D51" s="7">
        <f t="shared" ca="1" si="1"/>
        <v>-83</v>
      </c>
      <c r="E51" s="114" t="str">
        <f>IF(B51=0,"","Tuesday")</f>
        <v/>
      </c>
      <c r="F51" s="55"/>
      <c r="G51" s="56"/>
      <c r="H51" s="56"/>
      <c r="I51" s="200"/>
      <c r="J51" s="56"/>
      <c r="K51" s="201" t="str">
        <f>IF(R51=0,"",IF(L51="","",J51))</f>
        <v/>
      </c>
      <c r="L51" s="56"/>
      <c r="M51" s="56" t="str">
        <f t="shared" ref="M51" si="58">IF(R51=0,"",IF(J51="","",L51))</f>
        <v/>
      </c>
      <c r="N51" s="329"/>
      <c r="O51" s="259" t="str">
        <f t="shared" si="3"/>
        <v/>
      </c>
      <c r="P51" s="260">
        <f>H$56</f>
        <v>64079.276794873505</v>
      </c>
      <c r="Q51" s="169">
        <f t="shared" si="4"/>
        <v>39.817016667517095</v>
      </c>
      <c r="R51" s="169">
        <f>IF(R$2=3,H51+G51/1.0936133+F51/0.0006213712,IF(R$2=2,H51*1.0936133+G51+F51/0.0005681818,IF(R$2=1,H51*0.0005681818*1.0936133+G51*0.0005681818+F51,"")))</f>
        <v>0</v>
      </c>
      <c r="S51" s="368" t="str">
        <f t="shared" si="12"/>
        <v/>
      </c>
      <c r="T51" s="169"/>
      <c r="U51" s="169"/>
      <c r="V51" s="170" t="str">
        <f>IF(L51="","",IF(R51=0,"",IF(B51=0,"",IF($R$2=3,R51/L51*60/1000,IF($R$2=2,R51/L51*60/1760,IF($R$2=1,R51/L51*60,""))))))</f>
        <v/>
      </c>
      <c r="W51" s="170" t="str">
        <f>IF(R51=0,"",IF(L51="","",V51*L51))</f>
        <v/>
      </c>
      <c r="X51" s="259">
        <f>F51+X50</f>
        <v>0</v>
      </c>
      <c r="Y51" s="259">
        <f>G51+Y50</f>
        <v>0</v>
      </c>
      <c r="Z51" s="259">
        <f>H51+Z50</f>
        <v>0</v>
      </c>
      <c r="AA51" s="348">
        <f t="shared" si="8"/>
        <v>0</v>
      </c>
      <c r="AB51" s="274">
        <f t="shared" si="13"/>
        <v>0</v>
      </c>
      <c r="AC51" s="230"/>
      <c r="AD51" s="97"/>
      <c r="AE51" s="97"/>
    </row>
    <row r="52" spans="1:54" ht="17" thickTop="1" thickBot="1">
      <c r="A52" s="29"/>
      <c r="B52" s="16"/>
      <c r="C52" s="42"/>
      <c r="D52" s="60"/>
      <c r="E52" s="113" t="s">
        <v>76</v>
      </c>
      <c r="F52" s="59">
        <f ca="1">G52*0.000568181818</f>
        <v>-1.2427401132386871E-58</v>
      </c>
      <c r="G52" s="19">
        <f ca="1">H52*1.0936113</f>
        <v>-2.1872226000000002E-55</v>
      </c>
      <c r="H52" s="129">
        <f ca="1">IF(SUM(B50:B51)=0,-1E-55,IF(TODAY()&gt;=B50,(AA51-AA47)*1000,-2E-55))</f>
        <v>-2E-55</v>
      </c>
      <c r="I52" s="137"/>
      <c r="J52" s="422" t="s">
        <v>120</v>
      </c>
      <c r="K52" s="423"/>
      <c r="L52" s="423"/>
      <c r="M52" s="147"/>
      <c r="N52" s="332" t="str">
        <f>IF(R$2=1,"Distance (miles)",IF(R$2=2,"Distance (yds)",IF(R$2=3,"Distance (km)","????")))</f>
        <v>Distance (miles)</v>
      </c>
      <c r="O52" s="259"/>
      <c r="P52" s="234" t="s">
        <v>1</v>
      </c>
      <c r="Q52" s="234" t="s">
        <v>2</v>
      </c>
      <c r="R52" s="234" t="s">
        <v>3</v>
      </c>
      <c r="S52" s="234" t="s">
        <v>4</v>
      </c>
      <c r="T52" s="234" t="s">
        <v>5</v>
      </c>
      <c r="U52" s="234" t="s">
        <v>6</v>
      </c>
      <c r="V52" s="234" t="s">
        <v>7</v>
      </c>
      <c r="W52" s="259"/>
      <c r="X52" s="259"/>
      <c r="Y52" s="259"/>
      <c r="Z52" s="348"/>
      <c r="AA52" s="274"/>
      <c r="AB52" s="226"/>
      <c r="AC52" s="97"/>
      <c r="AD52" s="97"/>
    </row>
    <row r="53" spans="1:54" ht="16" thickBot="1">
      <c r="A53" s="28"/>
      <c r="B53" s="17"/>
      <c r="C53" s="39"/>
      <c r="D53" s="61"/>
      <c r="E53" s="116" t="s">
        <v>33</v>
      </c>
      <c r="F53" s="62">
        <f>G53*0.0005681818</f>
        <v>1.3273323949121374</v>
      </c>
      <c r="G53" s="63">
        <f>H53*1.0936113</f>
        <v>2336.1050898007247</v>
      </c>
      <c r="H53" s="131">
        <f>IF(SUM($O50:$O51)=0,-1E-55,SUM($O50:$O51))</f>
        <v>2136.1383974367536</v>
      </c>
      <c r="I53" s="136"/>
      <c r="J53" s="158" t="str">
        <f>'MY STATS'!AF44</f>
        <v/>
      </c>
      <c r="K53" s="159" t="str">
        <f>IF(J53="","x",J53)</f>
        <v>x</v>
      </c>
      <c r="L53" s="206" t="str">
        <f>IF(J53="","",SUMIF(K$5:K$51,K53,M$5:M$51)/1440)</f>
        <v/>
      </c>
      <c r="M53" s="207" t="str">
        <f>IF(J53="","",IF('MY STATS'!$A$15=3,SUMIF(K$5:K$51,J53,R$5:R$51)/1000,SUMIF(K$5:K$51,J53,R$5:R$51)))</f>
        <v/>
      </c>
      <c r="N53" s="333" t="str">
        <f>IF(J53="","",IF('MY STATS'!$A$15=3,SUMIF(J$5:J$51,J53,R$5:R$51)/1000,SUMIF(J$5:J$51,J53,R$5:R$51)))</f>
        <v/>
      </c>
      <c r="O53" s="353" t="s">
        <v>58</v>
      </c>
      <c r="P53" s="234">
        <f t="shared" ref="P53:V53" si="59">COUNTIFS($E$5:$E$51,P52)</f>
        <v>5</v>
      </c>
      <c r="Q53" s="234">
        <f t="shared" si="59"/>
        <v>4</v>
      </c>
      <c r="R53" s="234">
        <f t="shared" si="59"/>
        <v>4</v>
      </c>
      <c r="S53" s="234">
        <f t="shared" si="59"/>
        <v>4</v>
      </c>
      <c r="T53" s="234">
        <f t="shared" si="59"/>
        <v>4</v>
      </c>
      <c r="U53" s="234">
        <f t="shared" si="59"/>
        <v>4</v>
      </c>
      <c r="V53" s="234">
        <f t="shared" si="59"/>
        <v>5</v>
      </c>
      <c r="W53" s="259"/>
      <c r="X53" s="259"/>
      <c r="Y53" s="259"/>
      <c r="Z53" s="348"/>
      <c r="AA53" s="274"/>
      <c r="AB53" s="226"/>
      <c r="AC53" s="173"/>
      <c r="AD53" s="173"/>
    </row>
    <row r="54" spans="1:54" ht="17" thickTop="1" thickBot="1">
      <c r="A54" s="11"/>
      <c r="B54" s="11"/>
      <c r="C54" s="11"/>
      <c r="D54" s="11"/>
      <c r="E54" s="11"/>
      <c r="F54" s="11" t="s">
        <v>34</v>
      </c>
      <c r="G54" s="11" t="s">
        <v>35</v>
      </c>
      <c r="H54" s="11" t="s">
        <v>37</v>
      </c>
      <c r="I54" s="135"/>
      <c r="J54" s="160" t="str">
        <f>'MY STATS'!AG44</f>
        <v/>
      </c>
      <c r="K54" s="161" t="str">
        <f t="shared" ref="K54:K59" si="60">IF(J54="","x",J54)</f>
        <v>x</v>
      </c>
      <c r="L54" s="208" t="str">
        <f>IF(J54="","",SUMIF(K$5:K$51,K54,M$5:M$51)/1440)</f>
        <v/>
      </c>
      <c r="M54" s="209" t="str">
        <f>IF(J54="","",IF('MY STATS'!$A$15=3,SUMIF(K$5:K$51,J54,R$5:R$51)/1000,SUMIF(K$5:K$51,J54,R$5:R$51)))</f>
        <v/>
      </c>
      <c r="N54" s="334" t="str">
        <f>IF(J54="","",IF('MY STATS'!$A$15=3,SUMIF(J$5:J$51,J54,R$5:R$51)/1000,SUMIF(J$5:J$51,J54,R$5:R$51)))</f>
        <v/>
      </c>
      <c r="O54" s="353" t="s">
        <v>57</v>
      </c>
      <c r="P54" s="234">
        <f t="shared" ref="P54:V54" ca="1" si="61">COUNTIFS($D$5:$D$51,"&gt;-1",$E$5:$E$51,P52)</f>
        <v>0</v>
      </c>
      <c r="Q54" s="234">
        <f t="shared" ca="1" si="61"/>
        <v>0</v>
      </c>
      <c r="R54" s="234">
        <f t="shared" ca="1" si="61"/>
        <v>0</v>
      </c>
      <c r="S54" s="234">
        <f t="shared" ca="1" si="61"/>
        <v>0</v>
      </c>
      <c r="T54" s="234">
        <f t="shared" ca="1" si="61"/>
        <v>0</v>
      </c>
      <c r="U54" s="234">
        <f t="shared" ca="1" si="61"/>
        <v>0</v>
      </c>
      <c r="V54" s="234">
        <f t="shared" ca="1" si="61"/>
        <v>0</v>
      </c>
      <c r="W54" s="259"/>
      <c r="X54" s="259"/>
      <c r="Y54" s="259"/>
      <c r="Z54" s="348"/>
      <c r="AA54" s="274"/>
      <c r="AB54" s="226"/>
      <c r="AC54" s="97"/>
      <c r="AD54" s="97"/>
    </row>
    <row r="55" spans="1:54" ht="16" thickTop="1">
      <c r="A55" s="30"/>
      <c r="B55" s="58"/>
      <c r="C55" s="43"/>
      <c r="D55" s="43"/>
      <c r="E55" s="18" t="s">
        <v>36</v>
      </c>
      <c r="F55" s="88">
        <f>G55*0.000568181818</f>
        <v>0</v>
      </c>
      <c r="G55" s="89">
        <f>H55*1.0936113</f>
        <v>0</v>
      </c>
      <c r="H55" s="132">
        <f>AA$51*1000</f>
        <v>0</v>
      </c>
      <c r="I55" s="138"/>
      <c r="J55" s="160" t="str">
        <f>'MY STATS'!AH44</f>
        <v/>
      </c>
      <c r="K55" s="161" t="str">
        <f t="shared" si="60"/>
        <v>x</v>
      </c>
      <c r="L55" s="208" t="str">
        <f>IF(J55="","",SUMIF(K$5:K$51,K55,M$5:M$51)/1440)</f>
        <v/>
      </c>
      <c r="M55" s="209" t="str">
        <f>IF(J55="","",IF('MY STATS'!$A$15=3,SUMIF(K$5:K$51,J55,R$5:R$51)/1000,SUMIF(K$5:K$51,J55,R$5:R$51)))</f>
        <v/>
      </c>
      <c r="N55" s="334" t="str">
        <f>IF(J55="","",IF('MY STATS'!$A$15=3,SUMIF(J$5:J$51,J55,R$5:R$51)/1000,SUMIF(J$5:J$51,J55,R$5:R$51)))</f>
        <v/>
      </c>
      <c r="O55" s="353" t="s">
        <v>80</v>
      </c>
      <c r="P55" s="234">
        <f t="shared" ref="P55:V55" si="62">COUNTIFS($E$5:$E$51,P52,$R$5:$R$51,"&gt;0")</f>
        <v>0</v>
      </c>
      <c r="Q55" s="234">
        <f t="shared" si="62"/>
        <v>0</v>
      </c>
      <c r="R55" s="234">
        <f t="shared" si="62"/>
        <v>0</v>
      </c>
      <c r="S55" s="234">
        <f t="shared" si="62"/>
        <v>0</v>
      </c>
      <c r="T55" s="234">
        <f t="shared" si="62"/>
        <v>0</v>
      </c>
      <c r="U55" s="234">
        <f t="shared" si="62"/>
        <v>0</v>
      </c>
      <c r="V55" s="234">
        <f t="shared" si="62"/>
        <v>0</v>
      </c>
      <c r="W55" s="259"/>
      <c r="X55" s="259"/>
      <c r="Y55" s="259"/>
      <c r="Z55" s="348"/>
      <c r="AA55" s="274"/>
      <c r="AB55" s="226"/>
      <c r="AC55" s="97"/>
      <c r="AD55" s="97"/>
    </row>
    <row r="56" spans="1:54" ht="16" thickBot="1">
      <c r="A56" s="31"/>
      <c r="B56" s="44"/>
      <c r="C56" s="44"/>
      <c r="D56" s="44"/>
      <c r="E56" s="21" t="s">
        <v>51</v>
      </c>
      <c r="F56" s="47">
        <f>G56*0.000568181818</f>
        <v>39.816943850157131</v>
      </c>
      <c r="G56" s="48">
        <f>H56*1.0936113</f>
        <v>70077.821198701451</v>
      </c>
      <c r="H56" s="133">
        <f>SUM(H$53,H40,H31,H22,H49,H13)-1</f>
        <v>64079.276794873505</v>
      </c>
      <c r="I56" s="139"/>
      <c r="J56" s="160" t="str">
        <f>'MY STATS'!AI44</f>
        <v/>
      </c>
      <c r="K56" s="161" t="str">
        <f t="shared" si="60"/>
        <v>x</v>
      </c>
      <c r="L56" s="208" t="str">
        <f>IF(J56="","",SUMIF(K$5:K$51,K56,M$5:M$51)/1440)</f>
        <v/>
      </c>
      <c r="M56" s="209" t="str">
        <f>IF(J56="","",IF('MY STATS'!$A$15=3,SUMIF(K$5:K$51,J56,R$5:R$51)/1000,SUMIF(K$5:K$51,J56,R$5:R$51)))</f>
        <v/>
      </c>
      <c r="N56" s="334" t="str">
        <f>IF(J56="","",IF('MY STATS'!$A$15=3,SUMIF(J$5:J$51,J56,R$5:R$51)/1000,SUMIF(J$5:J$51,J56,R$5:R$51)))</f>
        <v/>
      </c>
      <c r="O56" s="353" t="s">
        <v>136</v>
      </c>
      <c r="P56" s="234"/>
      <c r="Q56" s="234"/>
      <c r="R56" s="234"/>
      <c r="S56" s="234"/>
      <c r="T56" s="234"/>
      <c r="U56" s="234"/>
      <c r="V56" s="234"/>
      <c r="W56" s="259"/>
      <c r="X56" s="259"/>
      <c r="Y56" s="259"/>
      <c r="Z56" s="348"/>
      <c r="AA56" s="274"/>
      <c r="AB56" s="226"/>
      <c r="AC56" s="97"/>
      <c r="AD56" s="97"/>
      <c r="AF56" s="15"/>
    </row>
    <row r="57" spans="1:54" ht="17" thickTop="1" thickBot="1">
      <c r="A57" s="49"/>
      <c r="B57" s="49"/>
      <c r="C57" s="49"/>
      <c r="D57" s="49"/>
      <c r="E57" s="49"/>
      <c r="F57" s="49"/>
      <c r="G57" s="49"/>
      <c r="H57" s="49"/>
      <c r="I57" s="140"/>
      <c r="J57" s="160" t="str">
        <f>'MY STATS'!AJ44</f>
        <v/>
      </c>
      <c r="K57" s="161" t="str">
        <f>IF(J57="","x",J57)</f>
        <v>x</v>
      </c>
      <c r="L57" s="208" t="str">
        <f>IF(J57="","",SUMIF(K$5:K$51,K57,M$5:M$51)/1440)</f>
        <v/>
      </c>
      <c r="M57" s="209" t="str">
        <f>IF(J57="","",IF('MY STATS'!$A$15=3,SUMIF(K$5:K$51,J57,R$5:R$51)/1000,SUMIF(K$5:K$51,J57,R$5:R$51)))</f>
        <v/>
      </c>
      <c r="N57" s="334" t="str">
        <f>IF(J57="","",IF('MY STATS'!$A$15=3,SUMIF(J$5:J$51,J57,R$5:R$51)/1000,SUMIF(J$5:J$51,J57,R$5:R$51)))</f>
        <v/>
      </c>
      <c r="O57" s="353" t="s">
        <v>126</v>
      </c>
      <c r="P57" s="339">
        <f t="shared" ref="P57:V57" si="63">SUMIF($E$5:$E$51,P52,$S$5:$S$51)</f>
        <v>0</v>
      </c>
      <c r="Q57" s="339">
        <f t="shared" si="63"/>
        <v>0</v>
      </c>
      <c r="R57" s="339">
        <f t="shared" si="63"/>
        <v>0</v>
      </c>
      <c r="S57" s="339">
        <f t="shared" si="63"/>
        <v>0</v>
      </c>
      <c r="T57" s="339">
        <f t="shared" si="63"/>
        <v>0</v>
      </c>
      <c r="U57" s="339">
        <f t="shared" si="63"/>
        <v>0</v>
      </c>
      <c r="V57" s="339">
        <f t="shared" si="63"/>
        <v>0</v>
      </c>
      <c r="W57" s="230"/>
      <c r="X57" s="230"/>
      <c r="Y57" s="230"/>
      <c r="Z57" s="234"/>
      <c r="AA57" s="230"/>
      <c r="AB57" s="226"/>
      <c r="AC57" s="97"/>
      <c r="AD57" s="97"/>
    </row>
    <row r="58" spans="1:54" ht="17" thickTop="1" thickBot="1">
      <c r="A58" s="77">
        <f>A1</f>
        <v>4</v>
      </c>
      <c r="B58" s="78"/>
      <c r="C58" s="79"/>
      <c r="D58" s="71"/>
      <c r="E58" s="72" t="s">
        <v>91</v>
      </c>
      <c r="F58" s="90">
        <f>G58*0.000568181818</f>
        <v>0</v>
      </c>
      <c r="G58" s="91">
        <f>H58*1.0936113</f>
        <v>0</v>
      </c>
      <c r="H58" s="92">
        <f>H$55+G$3</f>
        <v>0</v>
      </c>
      <c r="I58" s="140"/>
      <c r="J58" s="162" t="s">
        <v>112</v>
      </c>
      <c r="K58" s="163"/>
      <c r="L58" s="210">
        <f>L59-SUM(L53:L57)</f>
        <v>0</v>
      </c>
      <c r="M58" s="211">
        <f>(M59-SUM(M53:M57))</f>
        <v>0</v>
      </c>
      <c r="N58" s="335">
        <f>(N59-SUM(N53:N57))</f>
        <v>0</v>
      </c>
      <c r="O58" s="353" t="s">
        <v>127</v>
      </c>
      <c r="P58" s="354">
        <f>IF(COUNTIFS($E$5:$E$51,P52,$L$5:$L$51,"&gt;0")=0,0,(SUMIF($E$5:$E$51,P52,$L$5:$L$51)+IF(SUMIF($E$5:$E$51,P52,$R$5:$R$51)=0,-SUMIF($E$5:$E$51,P52,$L$5:$L$51)))/60)</f>
        <v>0</v>
      </c>
      <c r="Q58" s="354">
        <f t="shared" ref="Q58:V58" si="64">IF(COUNTIFS($E$5:$E$51,Q52,$L$5:$L$51,"&gt;0")=0,0,(SUMIF($E$5:$E$51,Q52,$L$5:$L$51)+IF(SUMIF($E$5:$E$51,Q52,$R$5:$R$51)=0,-SUMIF($E$5:$E$51,Q52,$L$5:$L$51)))/60)</f>
        <v>0</v>
      </c>
      <c r="R58" s="354">
        <f t="shared" si="64"/>
        <v>0</v>
      </c>
      <c r="S58" s="354">
        <f t="shared" si="64"/>
        <v>0</v>
      </c>
      <c r="T58" s="354">
        <f t="shared" si="64"/>
        <v>0</v>
      </c>
      <c r="U58" s="354">
        <f t="shared" si="64"/>
        <v>0</v>
      </c>
      <c r="V58" s="354">
        <f t="shared" si="64"/>
        <v>0</v>
      </c>
      <c r="W58" s="230"/>
      <c r="X58" s="230"/>
      <c r="Y58" s="230"/>
      <c r="Z58" s="234"/>
      <c r="AA58" s="230"/>
      <c r="AB58" s="226"/>
      <c r="AC58" s="97"/>
      <c r="AD58" s="97"/>
    </row>
    <row r="59" spans="1:54" ht="17" thickTop="1" thickBot="1">
      <c r="A59" s="80">
        <f>A1</f>
        <v>4</v>
      </c>
      <c r="B59" s="81"/>
      <c r="C59" s="82"/>
      <c r="D59" s="73"/>
      <c r="E59" s="74" t="s">
        <v>63</v>
      </c>
      <c r="F59" s="75">
        <f>G59*0.000568181818</f>
        <v>119.99978054400034</v>
      </c>
      <c r="G59" s="76">
        <f>H59*1.0936113</f>
        <v>211199.61382502445</v>
      </c>
      <c r="H59" s="134">
        <f>VLOOKUP($A$1,'MY STATS'!B$29:K$40,10)</f>
        <v>193121.27976825443</v>
      </c>
      <c r="I59" s="138"/>
      <c r="J59" s="164" t="s">
        <v>68</v>
      </c>
      <c r="K59" s="165" t="str">
        <f t="shared" si="60"/>
        <v>total</v>
      </c>
      <c r="L59" s="212">
        <f>(SUM(L5:L51)-L40)/1440</f>
        <v>0</v>
      </c>
      <c r="M59" s="213">
        <f>IF('MY STATS'!$A$15=3,SUM(R5:R51)/1000,SUM(R5:R51))</f>
        <v>0</v>
      </c>
      <c r="N59" s="336">
        <f>IF('MY STATS'!$A$15=3,SUM(R5:R51)/1000,SUM(R5:R51))</f>
        <v>0</v>
      </c>
      <c r="O59" s="353" t="s">
        <v>111</v>
      </c>
      <c r="P59" s="235">
        <f>IFERROR(IF('MY STATS'!$A15=1,P57/P58,IF('MY STATS'!$A15=2,P57/1760/P58,IF('MY STATS'!$A15=3,P57/1000/P58,0))),0)</f>
        <v>0</v>
      </c>
      <c r="Q59" s="235">
        <f>IFERROR(IF('MY STATS'!$A15=1,Q57/Q58,IF('MY STATS'!$A15=2,Q57/1760/Q58,IF('MY STATS'!$A15=3,Q57/1000/Q58,0))),0)</f>
        <v>0</v>
      </c>
      <c r="R59" s="235">
        <f>IFERROR(IF('MY STATS'!$A15=1,R57/R58,IF('MY STATS'!$A15=2,R57/1760/R58,IF('MY STATS'!$A15=3,R57/1000/R58,0))),0)</f>
        <v>0</v>
      </c>
      <c r="S59" s="235">
        <f>IFERROR(IF('MY STATS'!$A15=1,S57/S58,IF('MY STATS'!$A15=2,S57/1760/S58,IF('MY STATS'!$A15=3,S57/1000/S58,0))),0)</f>
        <v>0</v>
      </c>
      <c r="T59" s="235">
        <f>IFERROR(IF('MY STATS'!$A15=1,T57/T58,IF('MY STATS'!$A15=2,T57/1760/T58,IF('MY STATS'!$A15=3,T57/1000/T58,0))),0)</f>
        <v>0</v>
      </c>
      <c r="U59" s="235">
        <f>IFERROR(IF('MY STATS'!$A15=1,U57/U58,IF('MY STATS'!$A15=2,U57/1760/U58,IF('MY STATS'!$A15=3,U57/1000/U58,0))),0)</f>
        <v>0</v>
      </c>
      <c r="V59" s="235">
        <f>IFERROR(IF('MY STATS'!$A15=1,V57/V58,IF('MY STATS'!$A15=2,V57/1760/V58,IF('MY STATS'!$A15=3,V57/1000/V58,0))),0)</f>
        <v>0</v>
      </c>
      <c r="W59" s="230"/>
      <c r="X59" s="230"/>
      <c r="Y59" s="230"/>
      <c r="Z59" s="234"/>
      <c r="AA59" s="230"/>
      <c r="AB59" s="226"/>
      <c r="AC59" s="97"/>
      <c r="AD59" s="97"/>
    </row>
    <row r="60" spans="1:54" ht="16" thickTop="1">
      <c r="O60" s="319"/>
      <c r="P60" s="319"/>
      <c r="Q60" s="319"/>
      <c r="R60" s="319"/>
      <c r="S60" s="97"/>
      <c r="T60" s="319"/>
      <c r="U60" s="319"/>
      <c r="V60" s="319"/>
      <c r="W60" s="319"/>
      <c r="X60" s="319"/>
      <c r="Y60" s="319"/>
      <c r="Z60" s="319"/>
      <c r="AA60" s="234"/>
      <c r="AB60" s="230"/>
      <c r="AC60" s="230"/>
      <c r="AD60" s="97"/>
      <c r="AE60" s="97"/>
    </row>
    <row r="61" spans="1:54"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97"/>
      <c r="AC61" s="97"/>
    </row>
    <row r="62" spans="1:54" ht="6.75" customHeight="1"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7"/>
      <c r="AC62" s="97"/>
    </row>
    <row r="63" spans="1:54"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54">
      <c r="O64" s="97"/>
      <c r="P64" s="97"/>
      <c r="Q64" s="97"/>
      <c r="R64" s="97"/>
      <c r="S64" s="97"/>
      <c r="T64" s="97"/>
      <c r="U64" s="97"/>
      <c r="V64" s="97"/>
      <c r="W64" s="97"/>
      <c r="X64" s="98"/>
      <c r="Y64" s="97"/>
      <c r="Z64" s="97"/>
      <c r="AA64" s="3"/>
    </row>
    <row r="65" spans="19:26">
      <c r="S65" s="97"/>
    </row>
    <row r="66" spans="19:26" s="3" customFormat="1">
      <c r="S66" s="97"/>
      <c r="Z66" s="8"/>
    </row>
  </sheetData>
  <sheetProtection sheet="1" objects="1" scenarios="1" selectLockedCells="1"/>
  <mergeCells count="8">
    <mergeCell ref="J49:N49"/>
    <mergeCell ref="J52:L52"/>
    <mergeCell ref="J12:N12"/>
    <mergeCell ref="J13:N13"/>
    <mergeCell ref="J21:N22"/>
    <mergeCell ref="J30:N30"/>
    <mergeCell ref="J31:N31"/>
    <mergeCell ref="J48:N48"/>
  </mergeCells>
  <conditionalFormatting sqref="K5:K11 K50:K51 K14:K20 K23:K29 K32:K38">
    <cfRule type="cellIs" dxfId="10416" priority="1205" stopIfTrue="1" operator="lessThan">
      <formula>0</formula>
    </cfRule>
  </conditionalFormatting>
  <conditionalFormatting sqref="B14:B20 B23:B29 B49:B51 B40:B47 B53 B31:B38 D3 B5:B11">
    <cfRule type="cellIs" dxfId="10415" priority="1206" stopIfTrue="1" operator="notBetween">
      <formula>$B$2</formula>
      <formula>$B$3</formula>
    </cfRule>
  </conditionalFormatting>
  <conditionalFormatting sqref="B14:B20 B23:B29 B49:B51 B40:B47 B53 B31:B38 D3 B5:B11">
    <cfRule type="cellIs" dxfId="10414" priority="1207" operator="greaterThan">
      <formula>$E$3</formula>
    </cfRule>
    <cfRule type="cellIs" dxfId="10413" priority="1208" operator="equal">
      <formula>$E$3</formula>
    </cfRule>
    <cfRule type="cellIs" dxfId="10412" priority="1209" operator="lessThan">
      <formula>$E$3</formula>
    </cfRule>
  </conditionalFormatting>
  <conditionalFormatting sqref="F58:H58 F55:H55">
    <cfRule type="expression" dxfId="10411" priority="1204">
      <formula>$F55&gt;=$F56</formula>
    </cfRule>
  </conditionalFormatting>
  <conditionalFormatting sqref="F5:H10 F14:G20 F23:G29 F38:H38 F41:H47 F11:G11 F32:G37">
    <cfRule type="cellIs" dxfId="10410" priority="1194" stopIfTrue="1" operator="lessThan">
      <formula>0</formula>
    </cfRule>
  </conditionalFormatting>
  <conditionalFormatting sqref="C32:C38 C41:C47 C50:C51 C14:C20 C23:C29 C5:C11">
    <cfRule type="cellIs" dxfId="10409" priority="1199" stopIfTrue="1" operator="notBetween">
      <formula>$B$2</formula>
      <formula>$B$3</formula>
    </cfRule>
  </conditionalFormatting>
  <conditionalFormatting sqref="C41:C47 C50:C51 C32:C38 C14:C20 C23:C29 C5:C11">
    <cfRule type="cellIs" dxfId="10408" priority="1200" operator="greaterThan">
      <formula>$E$3</formula>
    </cfRule>
    <cfRule type="cellIs" dxfId="10407" priority="1201" operator="equal">
      <formula>$E$3</formula>
    </cfRule>
    <cfRule type="cellIs" dxfId="10406" priority="1202" operator="lessThan">
      <formula>$E$3</formula>
    </cfRule>
  </conditionalFormatting>
  <conditionalFormatting sqref="F14:G20 F23:G29 F38:H38 F41:H47 K5:K11 F32:G37 K14:K20 K23:K29 K32:K38 K41:K47 K50:K51">
    <cfRule type="expression" dxfId="10405" priority="1198">
      <formula>$C5&lt;$E$3</formula>
    </cfRule>
  </conditionalFormatting>
  <conditionalFormatting sqref="F5:H10 F14:G20 F23:G29 F38:H38 F41:H47 F11:G11 K5:K11 F32:G37 K14:K20 K23:K29 K32:K38 K41:K47 K50:K51">
    <cfRule type="expression" dxfId="10404" priority="1195">
      <formula>$C5=$E$3</formula>
    </cfRule>
    <cfRule type="expression" dxfId="10403" priority="1196">
      <formula>$C5&lt;$E$3</formula>
    </cfRule>
    <cfRule type="cellIs" dxfId="10402" priority="1197" operator="equal">
      <formula>0</formula>
    </cfRule>
    <cfRule type="expression" dxfId="10401" priority="1203">
      <formula>$C5&gt;$E$3</formula>
    </cfRule>
  </conditionalFormatting>
  <conditionalFormatting sqref="F12:G12">
    <cfRule type="expression" dxfId="10400" priority="1193">
      <formula>$F12&gt;=$F13</formula>
    </cfRule>
  </conditionalFormatting>
  <conditionalFormatting sqref="F21:G21">
    <cfRule type="expression" dxfId="10399" priority="1192">
      <formula>$F21&gt;=$F22</formula>
    </cfRule>
  </conditionalFormatting>
  <conditionalFormatting sqref="F39:H39">
    <cfRule type="expression" dxfId="10398" priority="1191">
      <formula>$F39&gt;=$F40</formula>
    </cfRule>
  </conditionalFormatting>
  <conditionalFormatting sqref="F30:G30">
    <cfRule type="expression" dxfId="10397" priority="1190">
      <formula>$F30&gt;=$F31</formula>
    </cfRule>
  </conditionalFormatting>
  <conditionalFormatting sqref="F48:H48">
    <cfRule type="expression" dxfId="10396" priority="1188" stopIfTrue="1">
      <formula>$H$48=-1E-55</formula>
    </cfRule>
    <cfRule type="expression" dxfId="10395" priority="1189">
      <formula>$F48&gt;=$F49</formula>
    </cfRule>
  </conditionalFormatting>
  <conditionalFormatting sqref="F14:G20 F23:G29 F38:H38 F41:H47 F32:G37">
    <cfRule type="expression" dxfId="10394" priority="1187">
      <formula>$C14&lt;$E$3</formula>
    </cfRule>
  </conditionalFormatting>
  <conditionalFormatting sqref="F14:G20 F5:H10 F23:G29 F38:H38 F41:H47 F11:G11 F32:G37">
    <cfRule type="expression" dxfId="10393" priority="1183">
      <formula>$C5=$E$3</formula>
    </cfRule>
    <cfRule type="expression" dxfId="10392" priority="1184">
      <formula>$C5&lt;$E$3</formula>
    </cfRule>
    <cfRule type="cellIs" dxfId="10391" priority="1185" operator="equal">
      <formula>0</formula>
    </cfRule>
    <cfRule type="expression" dxfId="10390" priority="1186">
      <formula>$C5&gt;$E$3</formula>
    </cfRule>
  </conditionalFormatting>
  <conditionalFormatting sqref="F12:G12">
    <cfRule type="expression" dxfId="10389" priority="1182">
      <formula>$F12&gt;=$F13</formula>
    </cfRule>
  </conditionalFormatting>
  <conditionalFormatting sqref="F21:G21">
    <cfRule type="expression" dxfId="10388" priority="1181">
      <formula>$F21&gt;=$F22</formula>
    </cfRule>
  </conditionalFormatting>
  <conditionalFormatting sqref="F39:H39">
    <cfRule type="expression" dxfId="10387" priority="1180">
      <formula>$F39&gt;=$F40</formula>
    </cfRule>
  </conditionalFormatting>
  <conditionalFormatting sqref="F30:G30">
    <cfRule type="expression" dxfId="10386" priority="1179">
      <formula>$F30&gt;=$F31</formula>
    </cfRule>
  </conditionalFormatting>
  <conditionalFormatting sqref="F48:H48">
    <cfRule type="expression" dxfId="10385" priority="1177" stopIfTrue="1">
      <formula>$E$41=""</formula>
    </cfRule>
    <cfRule type="expression" dxfId="10384" priority="1178">
      <formula>$F48&gt;=$F49</formula>
    </cfRule>
  </conditionalFormatting>
  <conditionalFormatting sqref="F41:H47 K5:K11 K14:K20 K23:K29 K32:K38 K41:K47 K50:K51">
    <cfRule type="expression" dxfId="10383" priority="1176">
      <formula>$E5=""</formula>
    </cfRule>
  </conditionalFormatting>
  <conditionalFormatting sqref="F47:H47">
    <cfRule type="expression" dxfId="10382" priority="1175">
      <formula>$E$46=""</formula>
    </cfRule>
  </conditionalFormatting>
  <conditionalFormatting sqref="F45:H45">
    <cfRule type="expression" dxfId="10381" priority="1174">
      <formula>$E45=""</formula>
    </cfRule>
  </conditionalFormatting>
  <conditionalFormatting sqref="F5:H10 F11:G11">
    <cfRule type="expression" dxfId="10380" priority="1173">
      <formula>$C5&lt;$E$3</formula>
    </cfRule>
  </conditionalFormatting>
  <conditionalFormatting sqref="F5:H10 F11:G11">
    <cfRule type="expression" dxfId="10379" priority="1172">
      <formula>$E5=""</formula>
    </cfRule>
  </conditionalFormatting>
  <conditionalFormatting sqref="F5:H10 F11:G11">
    <cfRule type="expression" dxfId="10378" priority="1168">
      <formula>$C5=$E$3</formula>
    </cfRule>
    <cfRule type="expression" dxfId="10377" priority="1169">
      <formula>$C5&lt;$E$3</formula>
    </cfRule>
    <cfRule type="cellIs" dxfId="10376" priority="1170" operator="equal">
      <formula>0</formula>
    </cfRule>
    <cfRule type="expression" dxfId="10375" priority="1171">
      <formula>$C5&gt;$E$3</formula>
    </cfRule>
  </conditionalFormatting>
  <conditionalFormatting sqref="F5:H10 F11:G11">
    <cfRule type="expression" dxfId="10374" priority="1167">
      <formula>$C5&lt;$E$3</formula>
    </cfRule>
  </conditionalFormatting>
  <conditionalFormatting sqref="F5:H10 F11:G11 K5:K11 K14:K20 K23:K29 K32:K38 K41:K47 K50:K51">
    <cfRule type="expression" dxfId="10373" priority="1166">
      <formula>$E5=""</formula>
    </cfRule>
  </conditionalFormatting>
  <conditionalFormatting sqref="F14:G20">
    <cfRule type="expression" dxfId="10372" priority="1165">
      <formula>$C14&lt;$E$3</formula>
    </cfRule>
  </conditionalFormatting>
  <conditionalFormatting sqref="F14:G20">
    <cfRule type="expression" dxfId="10371" priority="1161">
      <formula>$C14=$E$3</formula>
    </cfRule>
    <cfRule type="expression" dxfId="10370" priority="1162">
      <formula>$C14&lt;$E$3</formula>
    </cfRule>
    <cfRule type="cellIs" dxfId="10369" priority="1163" operator="equal">
      <formula>0</formula>
    </cfRule>
    <cfRule type="expression" dxfId="10368" priority="1164">
      <formula>$C14&gt;$E$3</formula>
    </cfRule>
  </conditionalFormatting>
  <conditionalFormatting sqref="F5:H10 F11:G11">
    <cfRule type="expression" dxfId="10367" priority="1160">
      <formula>$C5&lt;$E$3</formula>
    </cfRule>
  </conditionalFormatting>
  <conditionalFormatting sqref="F5:H10 F11:G11">
    <cfRule type="expression" dxfId="10366" priority="1156">
      <formula>$C5=$E$3</formula>
    </cfRule>
    <cfRule type="expression" dxfId="10365" priority="1157">
      <formula>$C5&lt;$E$3</formula>
    </cfRule>
    <cfRule type="cellIs" dxfId="10364" priority="1158" operator="equal">
      <formula>0</formula>
    </cfRule>
    <cfRule type="expression" dxfId="10363" priority="1159">
      <formula>$C5&gt;$E$3</formula>
    </cfRule>
  </conditionalFormatting>
  <conditionalFormatting sqref="F5:H10 F11:G11">
    <cfRule type="expression" dxfId="10362" priority="1155">
      <formula>$E5=""</formula>
    </cfRule>
  </conditionalFormatting>
  <conditionalFormatting sqref="F5:H10 F11:G11">
    <cfRule type="expression" dxfId="10361" priority="1154">
      <formula>$C5&lt;$E$3</formula>
    </cfRule>
  </conditionalFormatting>
  <conditionalFormatting sqref="F5:H10 F11:G11 K5:K11 K14:K20 K23:K29 K32:K38 K41:K47 K50:K51">
    <cfRule type="expression" dxfId="10360" priority="1153">
      <formula>$E5=""</formula>
    </cfRule>
  </conditionalFormatting>
  <conditionalFormatting sqref="F5:H10 F11:G11">
    <cfRule type="expression" dxfId="10359" priority="1152">
      <formula>$E5=""</formula>
    </cfRule>
  </conditionalFormatting>
  <conditionalFormatting sqref="F5:H10 F11:G11">
    <cfRule type="expression" dxfId="10358" priority="1151">
      <formula>$C5&lt;$E$3</formula>
    </cfRule>
  </conditionalFormatting>
  <conditionalFormatting sqref="F5:H10 F11:G11">
    <cfRule type="expression" dxfId="10357" priority="1150">
      <formula>$E5=""</formula>
    </cfRule>
  </conditionalFormatting>
  <conditionalFormatting sqref="F5:H10 F11:G11">
    <cfRule type="expression" dxfId="10356" priority="1149">
      <formula>$C5&lt;$E$3</formula>
    </cfRule>
  </conditionalFormatting>
  <conditionalFormatting sqref="F5:H10 F11:G11">
    <cfRule type="expression" dxfId="10355" priority="1148">
      <formula>$E5=""</formula>
    </cfRule>
  </conditionalFormatting>
  <conditionalFormatting sqref="F5:H10 F11:G11">
    <cfRule type="expression" dxfId="10354" priority="1147">
      <formula>$C5&lt;$E$3</formula>
    </cfRule>
  </conditionalFormatting>
  <conditionalFormatting sqref="F5:H10 F11:G11">
    <cfRule type="expression" dxfId="10353" priority="1146">
      <formula>$E5=""</formula>
    </cfRule>
  </conditionalFormatting>
  <conditionalFormatting sqref="F14:G20">
    <cfRule type="expression" dxfId="10352" priority="1145">
      <formula>$C14&lt;$E$3</formula>
    </cfRule>
  </conditionalFormatting>
  <conditionalFormatting sqref="F14:G20">
    <cfRule type="expression" dxfId="10351" priority="1141">
      <formula>$C14=$E$3</formula>
    </cfRule>
    <cfRule type="expression" dxfId="10350" priority="1142">
      <formula>$C14&lt;$E$3</formula>
    </cfRule>
    <cfRule type="cellIs" dxfId="10349" priority="1143" operator="equal">
      <formula>0</formula>
    </cfRule>
    <cfRule type="expression" dxfId="10348" priority="1144">
      <formula>$C14&gt;$E$3</formula>
    </cfRule>
  </conditionalFormatting>
  <conditionalFormatting sqref="F14:G20">
    <cfRule type="expression" dxfId="10347" priority="1140">
      <formula>$E14=""</formula>
    </cfRule>
  </conditionalFormatting>
  <conditionalFormatting sqref="F14:G20">
    <cfRule type="expression" dxfId="10346" priority="1139">
      <formula>$C14&lt;$E$3</formula>
    </cfRule>
  </conditionalFormatting>
  <conditionalFormatting sqref="F14:G20">
    <cfRule type="expression" dxfId="10345" priority="1138">
      <formula>$E14=""</formula>
    </cfRule>
  </conditionalFormatting>
  <conditionalFormatting sqref="F14:G20">
    <cfRule type="expression" dxfId="10344" priority="1137">
      <formula>$E14=""</formula>
    </cfRule>
  </conditionalFormatting>
  <conditionalFormatting sqref="F14:G20">
    <cfRule type="expression" dxfId="10343" priority="1136">
      <formula>$C14&lt;$E$3</formula>
    </cfRule>
  </conditionalFormatting>
  <conditionalFormatting sqref="F14:G20">
    <cfRule type="expression" dxfId="10342" priority="1135">
      <formula>$E14=""</formula>
    </cfRule>
  </conditionalFormatting>
  <conditionalFormatting sqref="F14:G20">
    <cfRule type="expression" dxfId="10341" priority="1134">
      <formula>$C14&lt;$E$3</formula>
    </cfRule>
  </conditionalFormatting>
  <conditionalFormatting sqref="F14:G20">
    <cfRule type="expression" dxfId="10340" priority="1133">
      <formula>$E14=""</formula>
    </cfRule>
  </conditionalFormatting>
  <conditionalFormatting sqref="F14:G20">
    <cfRule type="expression" dxfId="10339" priority="1132">
      <formula>$C14&lt;$E$3</formula>
    </cfRule>
  </conditionalFormatting>
  <conditionalFormatting sqref="F14:G20">
    <cfRule type="expression" dxfId="10338" priority="1131">
      <formula>$E14=""</formula>
    </cfRule>
  </conditionalFormatting>
  <conditionalFormatting sqref="F23:G29">
    <cfRule type="expression" dxfId="10337" priority="1130">
      <formula>$C23&lt;$E$3</formula>
    </cfRule>
  </conditionalFormatting>
  <conditionalFormatting sqref="F23:G29">
    <cfRule type="expression" dxfId="10336" priority="1126">
      <formula>$C23=$E$3</formula>
    </cfRule>
    <cfRule type="expression" dxfId="10335" priority="1127">
      <formula>$C23&lt;$E$3</formula>
    </cfRule>
    <cfRule type="cellIs" dxfId="10334" priority="1128" operator="equal">
      <formula>0</formula>
    </cfRule>
    <cfRule type="expression" dxfId="10333" priority="1129">
      <formula>$C23&gt;$E$3</formula>
    </cfRule>
  </conditionalFormatting>
  <conditionalFormatting sqref="F23:G29">
    <cfRule type="expression" dxfId="10332" priority="1125">
      <formula>$C23&lt;$E$3</formula>
    </cfRule>
  </conditionalFormatting>
  <conditionalFormatting sqref="F23:G29">
    <cfRule type="expression" dxfId="10331" priority="1121">
      <formula>$C23=$E$3</formula>
    </cfRule>
    <cfRule type="expression" dxfId="10330" priority="1122">
      <formula>$C23&lt;$E$3</formula>
    </cfRule>
    <cfRule type="cellIs" dxfId="10329" priority="1123" operator="equal">
      <formula>0</formula>
    </cfRule>
    <cfRule type="expression" dxfId="10328" priority="1124">
      <formula>$C23&gt;$E$3</formula>
    </cfRule>
  </conditionalFormatting>
  <conditionalFormatting sqref="F23:G29">
    <cfRule type="expression" dxfId="10327" priority="1120">
      <formula>$E23=""</formula>
    </cfRule>
  </conditionalFormatting>
  <conditionalFormatting sqref="F23:G29">
    <cfRule type="expression" dxfId="10326" priority="1119">
      <formula>$C23&lt;$E$3</formula>
    </cfRule>
  </conditionalFormatting>
  <conditionalFormatting sqref="F23:G29">
    <cfRule type="expression" dxfId="10325" priority="1118">
      <formula>$E23=""</formula>
    </cfRule>
  </conditionalFormatting>
  <conditionalFormatting sqref="F23:G29">
    <cfRule type="expression" dxfId="10324" priority="1117">
      <formula>$E23=""</formula>
    </cfRule>
  </conditionalFormatting>
  <conditionalFormatting sqref="F23:G29">
    <cfRule type="expression" dxfId="10323" priority="1116">
      <formula>$C23&lt;$E$3</formula>
    </cfRule>
  </conditionalFormatting>
  <conditionalFormatting sqref="F23:G29">
    <cfRule type="expression" dxfId="10322" priority="1115">
      <formula>$E23=""</formula>
    </cfRule>
  </conditionalFormatting>
  <conditionalFormatting sqref="F23:G29">
    <cfRule type="expression" dxfId="10321" priority="1114">
      <formula>$C23&lt;$E$3</formula>
    </cfRule>
  </conditionalFormatting>
  <conditionalFormatting sqref="F23:G29">
    <cfRule type="expression" dxfId="10320" priority="1113">
      <formula>$E23=""</formula>
    </cfRule>
  </conditionalFormatting>
  <conditionalFormatting sqref="F23:G29">
    <cfRule type="expression" dxfId="10319" priority="1112">
      <formula>$C23&lt;$E$3</formula>
    </cfRule>
  </conditionalFormatting>
  <conditionalFormatting sqref="F23:G29">
    <cfRule type="expression" dxfId="10318" priority="1111">
      <formula>$E23=""</formula>
    </cfRule>
  </conditionalFormatting>
  <conditionalFormatting sqref="F38:H38 F32:G37">
    <cfRule type="expression" dxfId="10317" priority="1110">
      <formula>$C32&lt;$E$3</formula>
    </cfRule>
  </conditionalFormatting>
  <conditionalFormatting sqref="F38:H38 F32:G37">
    <cfRule type="expression" dxfId="10316" priority="1106">
      <formula>$C32=$E$3</formula>
    </cfRule>
    <cfRule type="expression" dxfId="10315" priority="1107">
      <formula>$C32&lt;$E$3</formula>
    </cfRule>
    <cfRule type="cellIs" dxfId="10314" priority="1108" operator="equal">
      <formula>0</formula>
    </cfRule>
    <cfRule type="expression" dxfId="10313" priority="1109">
      <formula>$C32&gt;$E$3</formula>
    </cfRule>
  </conditionalFormatting>
  <conditionalFormatting sqref="F38:H38 F32:G37">
    <cfRule type="expression" dxfId="10312" priority="1105">
      <formula>$C32&lt;$E$3</formula>
    </cfRule>
  </conditionalFormatting>
  <conditionalFormatting sqref="F38:H38 F32:G37">
    <cfRule type="expression" dxfId="10311" priority="1101">
      <formula>$C32=$E$3</formula>
    </cfRule>
    <cfRule type="expression" dxfId="10310" priority="1102">
      <formula>$C32&lt;$E$3</formula>
    </cfRule>
    <cfRule type="cellIs" dxfId="10309" priority="1103" operator="equal">
      <formula>0</formula>
    </cfRule>
    <cfRule type="expression" dxfId="10308" priority="1104">
      <formula>$C32&gt;$E$3</formula>
    </cfRule>
  </conditionalFormatting>
  <conditionalFormatting sqref="F38:H38 F32:G37">
    <cfRule type="expression" dxfId="10307" priority="1100">
      <formula>$E32=""</formula>
    </cfRule>
  </conditionalFormatting>
  <conditionalFormatting sqref="F38:H38 F32:G37">
    <cfRule type="expression" dxfId="10306" priority="1099">
      <formula>$C32&lt;$E$3</formula>
    </cfRule>
  </conditionalFormatting>
  <conditionalFormatting sqref="F38:H38 F32:G37">
    <cfRule type="expression" dxfId="10305" priority="1098">
      <formula>$E32=""</formula>
    </cfRule>
  </conditionalFormatting>
  <conditionalFormatting sqref="F38:H38 F32:G37">
    <cfRule type="expression" dxfId="10304" priority="1097">
      <formula>$E32=""</formula>
    </cfRule>
  </conditionalFormatting>
  <conditionalFormatting sqref="F38:H38 F32:G37">
    <cfRule type="expression" dxfId="10303" priority="1096">
      <formula>$C32&lt;$E$3</formula>
    </cfRule>
  </conditionalFormatting>
  <conditionalFormatting sqref="F38:H38 F32:G37">
    <cfRule type="expression" dxfId="10302" priority="1095">
      <formula>$E32=""</formula>
    </cfRule>
  </conditionalFormatting>
  <conditionalFormatting sqref="F38:H38 F32:G37">
    <cfRule type="expression" dxfId="10301" priority="1094">
      <formula>$C32&lt;$E$3</formula>
    </cfRule>
  </conditionalFormatting>
  <conditionalFormatting sqref="F38:H38 F32:G37">
    <cfRule type="expression" dxfId="10300" priority="1093">
      <formula>$E32=""</formula>
    </cfRule>
  </conditionalFormatting>
  <conditionalFormatting sqref="F38:H38 F32:G37">
    <cfRule type="expression" dxfId="10299" priority="1092">
      <formula>$C32&lt;$E$3</formula>
    </cfRule>
  </conditionalFormatting>
  <conditionalFormatting sqref="F38:H38 F32:G37">
    <cfRule type="expression" dxfId="10298" priority="1091">
      <formula>$E32=""</formula>
    </cfRule>
  </conditionalFormatting>
  <conditionalFormatting sqref="F41:H47">
    <cfRule type="expression" dxfId="10297" priority="1090">
      <formula>$C41&lt;$E$3</formula>
    </cfRule>
  </conditionalFormatting>
  <conditionalFormatting sqref="F41:H47">
    <cfRule type="expression" dxfId="10296" priority="1086">
      <formula>$C41=$E$3</formula>
    </cfRule>
    <cfRule type="expression" dxfId="10295" priority="1087">
      <formula>$C41&lt;$E$3</formula>
    </cfRule>
    <cfRule type="cellIs" dxfId="10294" priority="1088" operator="equal">
      <formula>0</formula>
    </cfRule>
    <cfRule type="expression" dxfId="10293" priority="1089">
      <formula>$C41&gt;$E$3</formula>
    </cfRule>
  </conditionalFormatting>
  <conditionalFormatting sqref="F41:H47">
    <cfRule type="expression" dxfId="10292" priority="1085">
      <formula>$C41&lt;$E$3</formula>
    </cfRule>
  </conditionalFormatting>
  <conditionalFormatting sqref="F41:H47">
    <cfRule type="expression" dxfId="10291" priority="1081">
      <formula>$C41=$E$3</formula>
    </cfRule>
    <cfRule type="expression" dxfId="10290" priority="1082">
      <formula>$C41&lt;$E$3</formula>
    </cfRule>
    <cfRule type="cellIs" dxfId="10289" priority="1083" operator="equal">
      <formula>0</formula>
    </cfRule>
    <cfRule type="expression" dxfId="10288" priority="1084">
      <formula>$C41&gt;$E$3</formula>
    </cfRule>
  </conditionalFormatting>
  <conditionalFormatting sqref="F41:H47">
    <cfRule type="expression" dxfId="10287" priority="1080">
      <formula>$E41=""</formula>
    </cfRule>
  </conditionalFormatting>
  <conditionalFormatting sqref="F41:H47">
    <cfRule type="expression" dxfId="10286" priority="1079">
      <formula>$C41&lt;$E$3</formula>
    </cfRule>
  </conditionalFormatting>
  <conditionalFormatting sqref="F41:H47">
    <cfRule type="expression" dxfId="10285" priority="1078">
      <formula>$E41=""</formula>
    </cfRule>
  </conditionalFormatting>
  <conditionalFormatting sqref="F41:H47">
    <cfRule type="expression" dxfId="10284" priority="1077">
      <formula>$E41=""</formula>
    </cfRule>
  </conditionalFormatting>
  <conditionalFormatting sqref="F41:H47">
    <cfRule type="expression" dxfId="10283" priority="1076">
      <formula>$C41&lt;$E$3</formula>
    </cfRule>
  </conditionalFormatting>
  <conditionalFormatting sqref="F41:H47">
    <cfRule type="expression" dxfId="10282" priority="1075">
      <formula>$E41=""</formula>
    </cfRule>
  </conditionalFormatting>
  <conditionalFormatting sqref="F41:H47">
    <cfRule type="expression" dxfId="10281" priority="1074">
      <formula>$C41&lt;$E$3</formula>
    </cfRule>
  </conditionalFormatting>
  <conditionalFormatting sqref="F41:H47">
    <cfRule type="expression" dxfId="10280" priority="1073">
      <formula>$E41=""</formula>
    </cfRule>
  </conditionalFormatting>
  <conditionalFormatting sqref="F41:H47">
    <cfRule type="expression" dxfId="10279" priority="1072">
      <formula>$C41&lt;$E$3</formula>
    </cfRule>
  </conditionalFormatting>
  <conditionalFormatting sqref="F41:H47">
    <cfRule type="expression" dxfId="10278" priority="1071">
      <formula>$E41=""</formula>
    </cfRule>
  </conditionalFormatting>
  <conditionalFormatting sqref="F50:H51">
    <cfRule type="cellIs" dxfId="10277" priority="1070" stopIfTrue="1" operator="lessThan">
      <formula>0</formula>
    </cfRule>
  </conditionalFormatting>
  <conditionalFormatting sqref="F50:H51">
    <cfRule type="expression" dxfId="10276" priority="1069">
      <formula>$C50&lt;$E$3</formula>
    </cfRule>
  </conditionalFormatting>
  <conditionalFormatting sqref="F50:H51">
    <cfRule type="expression" dxfId="10275" priority="1065">
      <formula>$C50=$E$3</formula>
    </cfRule>
    <cfRule type="expression" dxfId="10274" priority="1066">
      <formula>$C50&lt;$E$3</formula>
    </cfRule>
    <cfRule type="cellIs" dxfId="10273" priority="1067" operator="equal">
      <formula>0</formula>
    </cfRule>
    <cfRule type="expression" dxfId="10272" priority="1068">
      <formula>$C50&gt;$E$3</formula>
    </cfRule>
  </conditionalFormatting>
  <conditionalFormatting sqref="F50:H51">
    <cfRule type="expression" dxfId="10271" priority="1064">
      <formula>$C50&lt;$E$3</formula>
    </cfRule>
  </conditionalFormatting>
  <conditionalFormatting sqref="F50:H51">
    <cfRule type="expression" dxfId="10270" priority="1060">
      <formula>$C50=$E$3</formula>
    </cfRule>
    <cfRule type="expression" dxfId="10269" priority="1061">
      <formula>$C50&lt;$E$3</formula>
    </cfRule>
    <cfRule type="cellIs" dxfId="10268" priority="1062" operator="equal">
      <formula>0</formula>
    </cfRule>
    <cfRule type="expression" dxfId="10267" priority="1063">
      <formula>$C50&gt;$E$3</formula>
    </cfRule>
  </conditionalFormatting>
  <conditionalFormatting sqref="F50:H51">
    <cfRule type="expression" dxfId="10266" priority="1059">
      <formula>$C50&lt;$E$3</formula>
    </cfRule>
  </conditionalFormatting>
  <conditionalFormatting sqref="F50:H51">
    <cfRule type="expression" dxfId="10265" priority="1055">
      <formula>$C50=$E$3</formula>
    </cfRule>
    <cfRule type="expression" dxfId="10264" priority="1056">
      <formula>$C50&lt;$E$3</formula>
    </cfRule>
    <cfRule type="cellIs" dxfId="10263" priority="1057" operator="equal">
      <formula>0</formula>
    </cfRule>
    <cfRule type="expression" dxfId="10262" priority="1058">
      <formula>$C50&gt;$E$3</formula>
    </cfRule>
  </conditionalFormatting>
  <conditionalFormatting sqref="F50:H51">
    <cfRule type="expression" dxfId="10261" priority="1054">
      <formula>$C50&lt;$E$3</formula>
    </cfRule>
  </conditionalFormatting>
  <conditionalFormatting sqref="F50:H51">
    <cfRule type="expression" dxfId="10260" priority="1050">
      <formula>$C50=$E$3</formula>
    </cfRule>
    <cfRule type="expression" dxfId="10259" priority="1051">
      <formula>$C50&lt;$E$3</formula>
    </cfRule>
    <cfRule type="cellIs" dxfId="10258" priority="1052" operator="equal">
      <formula>0</formula>
    </cfRule>
    <cfRule type="expression" dxfId="10257" priority="1053">
      <formula>$C50&gt;$E$3</formula>
    </cfRule>
  </conditionalFormatting>
  <conditionalFormatting sqref="F50:H51">
    <cfRule type="expression" dxfId="10256" priority="1049">
      <formula>$E50=""</formula>
    </cfRule>
  </conditionalFormatting>
  <conditionalFormatting sqref="F50:H51">
    <cfRule type="expression" dxfId="10255" priority="1048">
      <formula>$C50&lt;$E$3</formula>
    </cfRule>
  </conditionalFormatting>
  <conditionalFormatting sqref="F50:H51">
    <cfRule type="expression" dxfId="10254" priority="1047">
      <formula>$E50=""</formula>
    </cfRule>
  </conditionalFormatting>
  <conditionalFormatting sqref="F50:H51">
    <cfRule type="expression" dxfId="10253" priority="1046">
      <formula>$E50=""</formula>
    </cfRule>
  </conditionalFormatting>
  <conditionalFormatting sqref="F50:H51">
    <cfRule type="expression" dxfId="10252" priority="1045">
      <formula>$C50&lt;$E$3</formula>
    </cfRule>
  </conditionalFormatting>
  <conditionalFormatting sqref="F50:H51">
    <cfRule type="expression" dxfId="10251" priority="1044">
      <formula>$E50=""</formula>
    </cfRule>
  </conditionalFormatting>
  <conditionalFormatting sqref="F50:H51">
    <cfRule type="expression" dxfId="10250" priority="1043">
      <formula>$C50&lt;$E$3</formula>
    </cfRule>
  </conditionalFormatting>
  <conditionalFormatting sqref="F50:H51">
    <cfRule type="expression" dxfId="10249" priority="1042">
      <formula>$E50=""</formula>
    </cfRule>
  </conditionalFormatting>
  <conditionalFormatting sqref="F50:H51">
    <cfRule type="expression" dxfId="10248" priority="1041">
      <formula>$C50&lt;$E$3</formula>
    </cfRule>
  </conditionalFormatting>
  <conditionalFormatting sqref="F50:H51">
    <cfRule type="expression" dxfId="10247" priority="1040">
      <formula>$E50=""</formula>
    </cfRule>
  </conditionalFormatting>
  <conditionalFormatting sqref="E14:E20 E5:E11 E41:E47 E32:E38 E23:E29 E50:E51">
    <cfRule type="containsText" dxfId="10246" priority="1033" operator="containsText" text="Sa">
      <formula>NOT(ISERROR(SEARCH("Sa",E5)))</formula>
    </cfRule>
    <cfRule type="containsText" dxfId="10245" priority="1035" operator="containsText" text="Fr">
      <formula>NOT(ISERROR(SEARCH("Fr",E5)))</formula>
    </cfRule>
    <cfRule type="containsText" dxfId="10244" priority="1036" operator="containsText" text="Th">
      <formula>NOT(ISERROR(SEARCH("Th",E5)))</formula>
    </cfRule>
  </conditionalFormatting>
  <conditionalFormatting sqref="E14:E20 E5:E11 E41:E47 E32:E38 E23:E29 E50:E51">
    <cfRule type="containsText" dxfId="10243" priority="1037" operator="containsText" text="Wed">
      <formula>NOT(ISERROR(SEARCH("Wed",E5)))</formula>
    </cfRule>
    <cfRule type="containsText" dxfId="10242" priority="1038" operator="containsText" text="Tu">
      <formula>NOT(ISERROR(SEARCH("Tu",E5)))</formula>
    </cfRule>
    <cfRule type="beginsWith" dxfId="10241" priority="1039" operator="beginsWith" text="M">
      <formula>LEFT(E5,1)="M"</formula>
    </cfRule>
  </conditionalFormatting>
  <conditionalFormatting sqref="E14:E20 E5:E11 E41:E47 E32:E38 E23:E29 E50:E51">
    <cfRule type="containsText" dxfId="10240" priority="1034" operator="containsText" text="Su">
      <formula>NOT(ISERROR(SEARCH("Su",E5)))</formula>
    </cfRule>
  </conditionalFormatting>
  <conditionalFormatting sqref="C4">
    <cfRule type="cellIs" dxfId="10239" priority="1029" stopIfTrue="1" operator="notBetween">
      <formula>$B$2</formula>
      <formula>$B$3</formula>
    </cfRule>
  </conditionalFormatting>
  <conditionalFormatting sqref="C4">
    <cfRule type="cellIs" dxfId="10238" priority="1030" operator="greaterThan">
      <formula>$E$3</formula>
    </cfRule>
    <cfRule type="cellIs" dxfId="10237" priority="1031" operator="equal">
      <formula>$E$3</formula>
    </cfRule>
    <cfRule type="cellIs" dxfId="10236" priority="1032" operator="lessThan">
      <formula>$E$3</formula>
    </cfRule>
  </conditionalFormatting>
  <conditionalFormatting sqref="N15:N18 J23:J29 J14:J20 J5:J11 J50:J51 L5:N11 L14:M20 L23:M29 J41:N47 L50:N51 J32:J38 L32:M38">
    <cfRule type="cellIs" dxfId="10235" priority="1028" stopIfTrue="1" operator="lessThan">
      <formula>0</formula>
    </cfRule>
  </conditionalFormatting>
  <conditionalFormatting sqref="J5:J11 J50:J51 L5:M11 L50:M51 J14:M20 J23:M29 J41:M47 J32:M38">
    <cfRule type="expression" dxfId="10234" priority="1026">
      <formula>$C5&lt;$E$3</formula>
    </cfRule>
  </conditionalFormatting>
  <conditionalFormatting sqref="J5:J11 J50:J51 L5:M11 L50:M51 J14:M20 J23:M29 J41:M47 J32:M38">
    <cfRule type="expression" dxfId="10233" priority="1023">
      <formula>$C5=$E$3</formula>
    </cfRule>
    <cfRule type="expression" dxfId="10232" priority="1024">
      <formula>$C5&lt;$E$3</formula>
    </cfRule>
    <cfRule type="cellIs" dxfId="10231" priority="1025" operator="equal">
      <formula>0</formula>
    </cfRule>
    <cfRule type="expression" dxfId="10230" priority="1027">
      <formula>$C5&gt;$E$3</formula>
    </cfRule>
  </conditionalFormatting>
  <conditionalFormatting sqref="J5:J11 J50:J51 L5:M11 L50:M51 J14:M20 J23:M29 J41:M47 J32:M38">
    <cfRule type="expression" dxfId="10229" priority="1022">
      <formula>$E5=""</formula>
    </cfRule>
  </conditionalFormatting>
  <conditionalFormatting sqref="J5:J11 J50:J51 L5:M11 L50:M51 J14:M20 J23:M29 J41:M47 J32:M38">
    <cfRule type="expression" dxfId="10228" priority="1021">
      <formula>$E5=""</formula>
    </cfRule>
  </conditionalFormatting>
  <conditionalFormatting sqref="J5:J11 J50:J51 L5:M11 L50:M51 J14:M20 J23:M29 J41:M47 J32:M38">
    <cfRule type="expression" dxfId="10227" priority="1020">
      <formula>$E5=""</formula>
    </cfRule>
  </conditionalFormatting>
  <conditionalFormatting sqref="M5:M11 M14:M20 M23:M29 M32:M38 M41:M47 M50:M51">
    <cfRule type="expression" dxfId="10226" priority="1019">
      <formula>$C5&lt;$E$3</formula>
    </cfRule>
  </conditionalFormatting>
  <conditionalFormatting sqref="M5:M11 M14:M20 M23:M29 M32:M38 M41:M47 M50:M51">
    <cfRule type="expression" dxfId="10225" priority="1015">
      <formula>$C5=$E$3</formula>
    </cfRule>
    <cfRule type="expression" dxfId="10224" priority="1016">
      <formula>$C5&lt;$E$3</formula>
    </cfRule>
    <cfRule type="cellIs" dxfId="10223" priority="1017" operator="equal">
      <formula>0</formula>
    </cfRule>
    <cfRule type="expression" dxfId="10222" priority="1018">
      <formula>$C5&gt;$E$3</formula>
    </cfRule>
  </conditionalFormatting>
  <conditionalFormatting sqref="M5:M11 M14:M20 M23:M29 M32:M38 M41:M47 M50:M51">
    <cfRule type="expression" dxfId="10221" priority="1014">
      <formula>$C5&lt;$E$3</formula>
    </cfRule>
  </conditionalFormatting>
  <conditionalFormatting sqref="M5:M11 M14:M20 M23:M29 M32:M38 M41:M47 M50:M51">
    <cfRule type="expression" dxfId="10220" priority="1010">
      <formula>$C5=$E$3</formula>
    </cfRule>
    <cfRule type="expression" dxfId="10219" priority="1011">
      <formula>$C5&lt;$E$3</formula>
    </cfRule>
    <cfRule type="cellIs" dxfId="10218" priority="1012" operator="equal">
      <formula>0</formula>
    </cfRule>
    <cfRule type="expression" dxfId="10217" priority="1013">
      <formula>$C5&gt;$E$3</formula>
    </cfRule>
  </conditionalFormatting>
  <conditionalFormatting sqref="M5:M11 M14:M20 M23:M29 M32:M38 M41:M47 M50:M51">
    <cfRule type="expression" dxfId="10216" priority="1009">
      <formula>$C5&lt;$E$3</formula>
    </cfRule>
  </conditionalFormatting>
  <conditionalFormatting sqref="M5:M11 M14:M20 M23:M29 M32:M38 M41:M47 M50:M51">
    <cfRule type="expression" dxfId="10215" priority="1005">
      <formula>$C5=$E$3</formula>
    </cfRule>
    <cfRule type="expression" dxfId="10214" priority="1006">
      <formula>$C5&lt;$E$3</formula>
    </cfRule>
    <cfRule type="cellIs" dxfId="10213" priority="1007" operator="equal">
      <formula>0</formula>
    </cfRule>
    <cfRule type="expression" dxfId="10212" priority="1008">
      <formula>$C5&gt;$E$3</formula>
    </cfRule>
  </conditionalFormatting>
  <conditionalFormatting sqref="M5:M11 M14:M20 M23:M29 M32:M38 M41:M47 M50:M51">
    <cfRule type="expression" dxfId="10211" priority="1004">
      <formula>$C5&lt;$E$3</formula>
    </cfRule>
  </conditionalFormatting>
  <conditionalFormatting sqref="M5:M11 M14:M20 M23:M29 M32:M38 M41:M47 M50:M51">
    <cfRule type="expression" dxfId="10210" priority="1000">
      <formula>$C5=$E$3</formula>
    </cfRule>
    <cfRule type="expression" dxfId="10209" priority="1001">
      <formula>$C5&lt;$E$3</formula>
    </cfRule>
    <cfRule type="cellIs" dxfId="10208" priority="1002" operator="equal">
      <formula>0</formula>
    </cfRule>
    <cfRule type="expression" dxfId="10207" priority="1003">
      <formula>$C5&gt;$E$3</formula>
    </cfRule>
  </conditionalFormatting>
  <conditionalFormatting sqref="M5:M11 M14:M20 M23:M29 M32:M38 M41:M47 M50:M51">
    <cfRule type="expression" dxfId="10206" priority="999">
      <formula>$E5=""</formula>
    </cfRule>
  </conditionalFormatting>
  <conditionalFormatting sqref="M5:M11 M14:M20 M23:M29 M32:M38 M41:M47 M50:M51">
    <cfRule type="expression" dxfId="10205" priority="998">
      <formula>$C5&lt;$E$3</formula>
    </cfRule>
  </conditionalFormatting>
  <conditionalFormatting sqref="M5:M11 M14:M20 M23:M29 M32:M38 M41:M47 M50:M51">
    <cfRule type="expression" dxfId="10204" priority="997">
      <formula>$E5=""</formula>
    </cfRule>
  </conditionalFormatting>
  <conditionalFormatting sqref="M5:M11 M14:M20 M23:M29 M32:M38 M41:M47 M50:M51">
    <cfRule type="expression" dxfId="10203" priority="996">
      <formula>$E5=""</formula>
    </cfRule>
  </conditionalFormatting>
  <conditionalFormatting sqref="M5:M11 M14:M20 M23:M29 M32:M38 M41:M47 M50:M51">
    <cfRule type="expression" dxfId="10202" priority="995">
      <formula>$C5&lt;$E$3</formula>
    </cfRule>
  </conditionalFormatting>
  <conditionalFormatting sqref="M5:M11 M14:M20 M23:M29 M32:M38 M41:M47 M50:M51">
    <cfRule type="expression" dxfId="10201" priority="994">
      <formula>$E5=""</formula>
    </cfRule>
  </conditionalFormatting>
  <conditionalFormatting sqref="M5:M11 M14:M20 M23:M29 M32:M38 M41:M47 M50:M51">
    <cfRule type="expression" dxfId="10200" priority="993">
      <formula>$C5&lt;$E$3</formula>
    </cfRule>
  </conditionalFormatting>
  <conditionalFormatting sqref="M5:M11 M14:M20 M23:M29 M32:M38 M41:M47 M50:M51">
    <cfRule type="expression" dxfId="10199" priority="992">
      <formula>$E5=""</formula>
    </cfRule>
  </conditionalFormatting>
  <conditionalFormatting sqref="M5:M11 M14:M20 M23:M29 M32:M38 M41:M47 M50:M51">
    <cfRule type="expression" dxfId="10198" priority="991">
      <formula>$C5&lt;$E$3</formula>
    </cfRule>
  </conditionalFormatting>
  <conditionalFormatting sqref="M5:M11 M14:M20 M23:M29 M32:M38 M41:M47 M50:M51">
    <cfRule type="expression" dxfId="10197" priority="990">
      <formula>$E5=""</formula>
    </cfRule>
  </conditionalFormatting>
  <conditionalFormatting sqref="M5:M11 M14:M20 M23:M29 M32:M38 M41:M47 M50:M51">
    <cfRule type="expression" dxfId="10196" priority="989">
      <formula>$C5&lt;$E$3</formula>
    </cfRule>
  </conditionalFormatting>
  <conditionalFormatting sqref="M5:M11 M14:M20 M23:M29 M32:M38 M41:M47 M50:M51">
    <cfRule type="expression" dxfId="10195" priority="985">
      <formula>$C5=$E$3</formula>
    </cfRule>
    <cfRule type="expression" dxfId="10194" priority="986">
      <formula>$C5&lt;$E$3</formula>
    </cfRule>
    <cfRule type="cellIs" dxfId="10193" priority="987" operator="equal">
      <formula>0</formula>
    </cfRule>
    <cfRule type="expression" dxfId="10192" priority="988">
      <formula>$C5&gt;$E$3</formula>
    </cfRule>
  </conditionalFormatting>
  <conditionalFormatting sqref="M5:M11 M14:M20 M23:M29 M32:M38 M41:M47 M50:M51">
    <cfRule type="expression" dxfId="10191" priority="984">
      <formula>$C5&lt;$E$3</formula>
    </cfRule>
  </conditionalFormatting>
  <conditionalFormatting sqref="M5:M11 M14:M20 M23:M29 M32:M38 M41:M47 M50:M51">
    <cfRule type="expression" dxfId="10190" priority="980">
      <formula>$C5=$E$3</formula>
    </cfRule>
    <cfRule type="expression" dxfId="10189" priority="981">
      <formula>$C5&lt;$E$3</formula>
    </cfRule>
    <cfRule type="cellIs" dxfId="10188" priority="982" operator="equal">
      <formula>0</formula>
    </cfRule>
    <cfRule type="expression" dxfId="10187" priority="983">
      <formula>$C5&gt;$E$3</formula>
    </cfRule>
  </conditionalFormatting>
  <conditionalFormatting sqref="M5:M11 M14:M20 M23:M29 M32:M38 M41:M47 M50:M51">
    <cfRule type="expression" dxfId="10186" priority="979">
      <formula>$C5&lt;$E$3</formula>
    </cfRule>
  </conditionalFormatting>
  <conditionalFormatting sqref="M5:M11 M14:M20 M23:M29 M32:M38 M41:M47 M50:M51">
    <cfRule type="expression" dxfId="10185" priority="975">
      <formula>$C5=$E$3</formula>
    </cfRule>
    <cfRule type="expression" dxfId="10184" priority="976">
      <formula>$C5&lt;$E$3</formula>
    </cfRule>
    <cfRule type="cellIs" dxfId="10183" priority="977" operator="equal">
      <formula>0</formula>
    </cfRule>
    <cfRule type="expression" dxfId="10182" priority="978">
      <formula>$C5&gt;$E$3</formula>
    </cfRule>
  </conditionalFormatting>
  <conditionalFormatting sqref="M5:M11 M14:M20 M23:M29 M32:M38 M41:M47 M50:M51">
    <cfRule type="expression" dxfId="10181" priority="974">
      <formula>$C5&lt;$E$3</formula>
    </cfRule>
  </conditionalFormatting>
  <conditionalFormatting sqref="M5:M11 M14:M20 M23:M29 M32:M38 M41:M47 M50:M51">
    <cfRule type="expression" dxfId="10180" priority="970">
      <formula>$C5=$E$3</formula>
    </cfRule>
    <cfRule type="expression" dxfId="10179" priority="971">
      <formula>$C5&lt;$E$3</formula>
    </cfRule>
    <cfRule type="cellIs" dxfId="10178" priority="972" operator="equal">
      <formula>0</formula>
    </cfRule>
    <cfRule type="expression" dxfId="10177" priority="973">
      <formula>$C5&gt;$E$3</formula>
    </cfRule>
  </conditionalFormatting>
  <conditionalFormatting sqref="M5:M11 M14:M20 M23:M29 M32:M38 M41:M47 M50:M51">
    <cfRule type="expression" dxfId="10176" priority="969">
      <formula>$E5=""</formula>
    </cfRule>
  </conditionalFormatting>
  <conditionalFormatting sqref="M5:M11 M14:M20 M23:M29 M32:M38 M41:M47 M50:M51">
    <cfRule type="expression" dxfId="10175" priority="968">
      <formula>$C5&lt;$E$3</formula>
    </cfRule>
  </conditionalFormatting>
  <conditionalFormatting sqref="M5:M11 M14:M20 M23:M29 M32:M38 M41:M47 M50:M51">
    <cfRule type="expression" dxfId="10174" priority="967">
      <formula>$E5=""</formula>
    </cfRule>
  </conditionalFormatting>
  <conditionalFormatting sqref="M5:M11 M14:M20 M23:M29 M32:M38 M41:M47 M50:M51">
    <cfRule type="expression" dxfId="10173" priority="966">
      <formula>$E5=""</formula>
    </cfRule>
  </conditionalFormatting>
  <conditionalFormatting sqref="M5:M11 M14:M20 M23:M29 M32:M38 M41:M47 M50:M51">
    <cfRule type="expression" dxfId="10172" priority="965">
      <formula>$C5&lt;$E$3</formula>
    </cfRule>
  </conditionalFormatting>
  <conditionalFormatting sqref="M5:M11 M14:M20 M23:M29 M32:M38 M41:M47 M50:M51">
    <cfRule type="expression" dxfId="10171" priority="964">
      <formula>$E5=""</formula>
    </cfRule>
  </conditionalFormatting>
  <conditionalFormatting sqref="M5:M11 M14:M20 M23:M29 M32:M38 M41:M47 M50:M51">
    <cfRule type="expression" dxfId="10170" priority="963">
      <formula>$C5&lt;$E$3</formula>
    </cfRule>
  </conditionalFormatting>
  <conditionalFormatting sqref="M5:M11 M14:M20 M23:M29 M32:M38 M41:M47 M50:M51">
    <cfRule type="expression" dxfId="10169" priority="962">
      <formula>$E5=""</formula>
    </cfRule>
  </conditionalFormatting>
  <conditionalFormatting sqref="M5:M11 M14:M20 M23:M29 M32:M38 M41:M47 M50:M51">
    <cfRule type="expression" dxfId="10168" priority="961">
      <formula>$C5&lt;$E$3</formula>
    </cfRule>
  </conditionalFormatting>
  <conditionalFormatting sqref="M5:M11 M14:M20 M23:M29 M32:M38 M41:M47 M50:M51">
    <cfRule type="expression" dxfId="10167" priority="960">
      <formula>$E5=""</formula>
    </cfRule>
  </conditionalFormatting>
  <conditionalFormatting sqref="K10">
    <cfRule type="expression" dxfId="10166" priority="959">
      <formula>$C10&lt;$E$3</formula>
    </cfRule>
  </conditionalFormatting>
  <conditionalFormatting sqref="K10">
    <cfRule type="expression" dxfId="10165" priority="955">
      <formula>$C10=$E$3</formula>
    </cfRule>
    <cfRule type="expression" dxfId="10164" priority="956">
      <formula>$C10&lt;$E$3</formula>
    </cfRule>
    <cfRule type="cellIs" dxfId="10163" priority="957" operator="equal">
      <formula>0</formula>
    </cfRule>
    <cfRule type="expression" dxfId="10162" priority="958">
      <formula>$C10&gt;$E$3</formula>
    </cfRule>
  </conditionalFormatting>
  <conditionalFormatting sqref="K10">
    <cfRule type="expression" dxfId="10161" priority="954">
      <formula>$C10&lt;$E$3</formula>
    </cfRule>
  </conditionalFormatting>
  <conditionalFormatting sqref="K10">
    <cfRule type="expression" dxfId="10160" priority="950">
      <formula>$C10=$E$3</formula>
    </cfRule>
    <cfRule type="expression" dxfId="10159" priority="951">
      <formula>$C10&lt;$E$3</formula>
    </cfRule>
    <cfRule type="cellIs" dxfId="10158" priority="952" operator="equal">
      <formula>0</formula>
    </cfRule>
    <cfRule type="expression" dxfId="10157" priority="953">
      <formula>$C10&gt;$E$3</formula>
    </cfRule>
  </conditionalFormatting>
  <conditionalFormatting sqref="K10">
    <cfRule type="expression" dxfId="10156" priority="949">
      <formula>$C10&lt;$E$3</formula>
    </cfRule>
  </conditionalFormatting>
  <conditionalFormatting sqref="K10">
    <cfRule type="expression" dxfId="10155" priority="945">
      <formula>$C10=$E$3</formula>
    </cfRule>
    <cfRule type="expression" dxfId="10154" priority="946">
      <formula>$C10&lt;$E$3</formula>
    </cfRule>
    <cfRule type="cellIs" dxfId="10153" priority="947" operator="equal">
      <formula>0</formula>
    </cfRule>
    <cfRule type="expression" dxfId="10152" priority="948">
      <formula>$C10&gt;$E$3</formula>
    </cfRule>
  </conditionalFormatting>
  <conditionalFormatting sqref="K10">
    <cfRule type="expression" dxfId="10151" priority="944">
      <formula>$C10&lt;$E$3</formula>
    </cfRule>
  </conditionalFormatting>
  <conditionalFormatting sqref="K10">
    <cfRule type="expression" dxfId="10150" priority="940">
      <formula>$C10=$E$3</formula>
    </cfRule>
    <cfRule type="expression" dxfId="10149" priority="941">
      <formula>$C10&lt;$E$3</formula>
    </cfRule>
    <cfRule type="cellIs" dxfId="10148" priority="942" operator="equal">
      <formula>0</formula>
    </cfRule>
    <cfRule type="expression" dxfId="10147" priority="943">
      <formula>$C10&gt;$E$3</formula>
    </cfRule>
  </conditionalFormatting>
  <conditionalFormatting sqref="K10">
    <cfRule type="expression" dxfId="10146" priority="939">
      <formula>$E10=""</formula>
    </cfRule>
  </conditionalFormatting>
  <conditionalFormatting sqref="K10">
    <cfRule type="expression" dxfId="10145" priority="938">
      <formula>$C10&lt;$E$3</formula>
    </cfRule>
  </conditionalFormatting>
  <conditionalFormatting sqref="K10">
    <cfRule type="expression" dxfId="10144" priority="937">
      <formula>$E10=""</formula>
    </cfRule>
  </conditionalFormatting>
  <conditionalFormatting sqref="K10">
    <cfRule type="expression" dxfId="10143" priority="936">
      <formula>$E10=""</formula>
    </cfRule>
  </conditionalFormatting>
  <conditionalFormatting sqref="K10">
    <cfRule type="expression" dxfId="10142" priority="935">
      <formula>$C10&lt;$E$3</formula>
    </cfRule>
  </conditionalFormatting>
  <conditionalFormatting sqref="K10">
    <cfRule type="expression" dxfId="10141" priority="934">
      <formula>$E10=""</formula>
    </cfRule>
  </conditionalFormatting>
  <conditionalFormatting sqref="K10">
    <cfRule type="expression" dxfId="10140" priority="933">
      <formula>$C10&lt;$E$3</formula>
    </cfRule>
  </conditionalFormatting>
  <conditionalFormatting sqref="K10">
    <cfRule type="expression" dxfId="10139" priority="932">
      <formula>$E10=""</formula>
    </cfRule>
  </conditionalFormatting>
  <conditionalFormatting sqref="K10">
    <cfRule type="expression" dxfId="10138" priority="931">
      <formula>$C10&lt;$E$3</formula>
    </cfRule>
  </conditionalFormatting>
  <conditionalFormatting sqref="K10">
    <cfRule type="expression" dxfId="10137" priority="930">
      <formula>$E10=""</formula>
    </cfRule>
  </conditionalFormatting>
  <conditionalFormatting sqref="K10">
    <cfRule type="expression" dxfId="10136" priority="929">
      <formula>$C10&lt;$E$3</formula>
    </cfRule>
  </conditionalFormatting>
  <conditionalFormatting sqref="K10">
    <cfRule type="expression" dxfId="10135" priority="925">
      <formula>$C10=$E$3</formula>
    </cfRule>
    <cfRule type="expression" dxfId="10134" priority="926">
      <formula>$C10&lt;$E$3</formula>
    </cfRule>
    <cfRule type="cellIs" dxfId="10133" priority="927" operator="equal">
      <formula>0</formula>
    </cfRule>
    <cfRule type="expression" dxfId="10132" priority="928">
      <formula>$C10&gt;$E$3</formula>
    </cfRule>
  </conditionalFormatting>
  <conditionalFormatting sqref="K10">
    <cfRule type="expression" dxfId="10131" priority="924">
      <formula>$C10&lt;$E$3</formula>
    </cfRule>
  </conditionalFormatting>
  <conditionalFormatting sqref="K10">
    <cfRule type="expression" dxfId="10130" priority="920">
      <formula>$C10=$E$3</formula>
    </cfRule>
    <cfRule type="expression" dxfId="10129" priority="921">
      <formula>$C10&lt;$E$3</formula>
    </cfRule>
    <cfRule type="cellIs" dxfId="10128" priority="922" operator="equal">
      <formula>0</formula>
    </cfRule>
    <cfRule type="expression" dxfId="10127" priority="923">
      <formula>$C10&gt;$E$3</formula>
    </cfRule>
  </conditionalFormatting>
  <conditionalFormatting sqref="K10">
    <cfRule type="expression" dxfId="10126" priority="919">
      <formula>$C10&lt;$E$3</formula>
    </cfRule>
  </conditionalFormatting>
  <conditionalFormatting sqref="K10">
    <cfRule type="expression" dxfId="10125" priority="915">
      <formula>$C10=$E$3</formula>
    </cfRule>
    <cfRule type="expression" dxfId="10124" priority="916">
      <formula>$C10&lt;$E$3</formula>
    </cfRule>
    <cfRule type="cellIs" dxfId="10123" priority="917" operator="equal">
      <formula>0</formula>
    </cfRule>
    <cfRule type="expression" dxfId="10122" priority="918">
      <formula>$C10&gt;$E$3</formula>
    </cfRule>
  </conditionalFormatting>
  <conditionalFormatting sqref="K10">
    <cfRule type="expression" dxfId="10121" priority="914">
      <formula>$C10&lt;$E$3</formula>
    </cfRule>
  </conditionalFormatting>
  <conditionalFormatting sqref="K10">
    <cfRule type="expression" dxfId="10120" priority="910">
      <formula>$C10=$E$3</formula>
    </cfRule>
    <cfRule type="expression" dxfId="10119" priority="911">
      <formula>$C10&lt;$E$3</formula>
    </cfRule>
    <cfRule type="cellIs" dxfId="10118" priority="912" operator="equal">
      <formula>0</formula>
    </cfRule>
    <cfRule type="expression" dxfId="10117" priority="913">
      <formula>$C10&gt;$E$3</formula>
    </cfRule>
  </conditionalFormatting>
  <conditionalFormatting sqref="K10">
    <cfRule type="expression" dxfId="10116" priority="909">
      <formula>$E10=""</formula>
    </cfRule>
  </conditionalFormatting>
  <conditionalFormatting sqref="K10">
    <cfRule type="expression" dxfId="10115" priority="908">
      <formula>$C10&lt;$E$3</formula>
    </cfRule>
  </conditionalFormatting>
  <conditionalFormatting sqref="K10">
    <cfRule type="expression" dxfId="10114" priority="907">
      <formula>$E10=""</formula>
    </cfRule>
  </conditionalFormatting>
  <conditionalFormatting sqref="K10">
    <cfRule type="expression" dxfId="10113" priority="906">
      <formula>$E10=""</formula>
    </cfRule>
  </conditionalFormatting>
  <conditionalFormatting sqref="K10">
    <cfRule type="expression" dxfId="10112" priority="905">
      <formula>$C10&lt;$E$3</formula>
    </cfRule>
  </conditionalFormatting>
  <conditionalFormatting sqref="K10">
    <cfRule type="expression" dxfId="10111" priority="904">
      <formula>$E10=""</formula>
    </cfRule>
  </conditionalFormatting>
  <conditionalFormatting sqref="K10">
    <cfRule type="expression" dxfId="10110" priority="903">
      <formula>$C10&lt;$E$3</formula>
    </cfRule>
  </conditionalFormatting>
  <conditionalFormatting sqref="K10">
    <cfRule type="expression" dxfId="10109" priority="902">
      <formula>$E10=""</formula>
    </cfRule>
  </conditionalFormatting>
  <conditionalFormatting sqref="K10">
    <cfRule type="expression" dxfId="10108" priority="901">
      <formula>$C10&lt;$E$3</formula>
    </cfRule>
  </conditionalFormatting>
  <conditionalFormatting sqref="K10">
    <cfRule type="expression" dxfId="10107" priority="900">
      <formula>$E10=""</formula>
    </cfRule>
  </conditionalFormatting>
  <conditionalFormatting sqref="K5:K9">
    <cfRule type="expression" dxfId="10106" priority="899">
      <formula>$C5&lt;$E$3</formula>
    </cfRule>
  </conditionalFormatting>
  <conditionalFormatting sqref="K5:K9">
    <cfRule type="expression" dxfId="10105" priority="895">
      <formula>$C5=$E$3</formula>
    </cfRule>
    <cfRule type="expression" dxfId="10104" priority="896">
      <formula>$C5&lt;$E$3</formula>
    </cfRule>
    <cfRule type="cellIs" dxfId="10103" priority="897" operator="equal">
      <formula>0</formula>
    </cfRule>
    <cfRule type="expression" dxfId="10102" priority="898">
      <formula>$C5&gt;$E$3</formula>
    </cfRule>
  </conditionalFormatting>
  <conditionalFormatting sqref="K5:K9">
    <cfRule type="expression" dxfId="10101" priority="894">
      <formula>$C5&lt;$E$3</formula>
    </cfRule>
  </conditionalFormatting>
  <conditionalFormatting sqref="K5:K9">
    <cfRule type="expression" dxfId="10100" priority="890">
      <formula>$C5=$E$3</formula>
    </cfRule>
    <cfRule type="expression" dxfId="10099" priority="891">
      <formula>$C5&lt;$E$3</formula>
    </cfRule>
    <cfRule type="cellIs" dxfId="10098" priority="892" operator="equal">
      <formula>0</formula>
    </cfRule>
    <cfRule type="expression" dxfId="10097" priority="893">
      <formula>$C5&gt;$E$3</formula>
    </cfRule>
  </conditionalFormatting>
  <conditionalFormatting sqref="K5:K9">
    <cfRule type="expression" dxfId="10096" priority="889">
      <formula>$C5&lt;$E$3</formula>
    </cfRule>
  </conditionalFormatting>
  <conditionalFormatting sqref="K5:K9">
    <cfRule type="expression" dxfId="10095" priority="885">
      <formula>$C5=$E$3</formula>
    </cfRule>
    <cfRule type="expression" dxfId="10094" priority="886">
      <formula>$C5&lt;$E$3</formula>
    </cfRule>
    <cfRule type="cellIs" dxfId="10093" priority="887" operator="equal">
      <formula>0</formula>
    </cfRule>
    <cfRule type="expression" dxfId="10092" priority="888">
      <formula>$C5&gt;$E$3</formula>
    </cfRule>
  </conditionalFormatting>
  <conditionalFormatting sqref="K5:K9">
    <cfRule type="expression" dxfId="10091" priority="884">
      <formula>$C5&lt;$E$3</formula>
    </cfRule>
  </conditionalFormatting>
  <conditionalFormatting sqref="K5:K9">
    <cfRule type="expression" dxfId="10090" priority="880">
      <formula>$C5=$E$3</formula>
    </cfRule>
    <cfRule type="expression" dxfId="10089" priority="881">
      <formula>$C5&lt;$E$3</formula>
    </cfRule>
    <cfRule type="cellIs" dxfId="10088" priority="882" operator="equal">
      <formula>0</formula>
    </cfRule>
    <cfRule type="expression" dxfId="10087" priority="883">
      <formula>$C5&gt;$E$3</formula>
    </cfRule>
  </conditionalFormatting>
  <conditionalFormatting sqref="K5:K9">
    <cfRule type="expression" dxfId="10086" priority="879">
      <formula>$E5=""</formula>
    </cfRule>
  </conditionalFormatting>
  <conditionalFormatting sqref="K5:K9">
    <cfRule type="expression" dxfId="10085" priority="878">
      <formula>$C5&lt;$E$3</formula>
    </cfRule>
  </conditionalFormatting>
  <conditionalFormatting sqref="K5:K9">
    <cfRule type="expression" dxfId="10084" priority="877">
      <formula>$E5=""</formula>
    </cfRule>
  </conditionalFormatting>
  <conditionalFormatting sqref="K5:K9">
    <cfRule type="expression" dxfId="10083" priority="876">
      <formula>$E5=""</formula>
    </cfRule>
  </conditionalFormatting>
  <conditionalFormatting sqref="K5:K9">
    <cfRule type="expression" dxfId="10082" priority="875">
      <formula>$C5&lt;$E$3</formula>
    </cfRule>
  </conditionalFormatting>
  <conditionalFormatting sqref="K5:K9">
    <cfRule type="expression" dxfId="10081" priority="874">
      <formula>$E5=""</formula>
    </cfRule>
  </conditionalFormatting>
  <conditionalFormatting sqref="K5:K9">
    <cfRule type="expression" dxfId="10080" priority="873">
      <formula>$C5&lt;$E$3</formula>
    </cfRule>
  </conditionalFormatting>
  <conditionalFormatting sqref="K5:K9">
    <cfRule type="expression" dxfId="10079" priority="872">
      <formula>$E5=""</formula>
    </cfRule>
  </conditionalFormatting>
  <conditionalFormatting sqref="K5:K9">
    <cfRule type="expression" dxfId="10078" priority="871">
      <formula>$C5&lt;$E$3</formula>
    </cfRule>
  </conditionalFormatting>
  <conditionalFormatting sqref="K5:K9">
    <cfRule type="expression" dxfId="10077" priority="870">
      <formula>$E5=""</formula>
    </cfRule>
  </conditionalFormatting>
  <conditionalFormatting sqref="K5:K9">
    <cfRule type="expression" dxfId="10076" priority="869">
      <formula>$C5&lt;$E$3</formula>
    </cfRule>
  </conditionalFormatting>
  <conditionalFormatting sqref="K5:K9">
    <cfRule type="expression" dxfId="10075" priority="865">
      <formula>$C5=$E$3</formula>
    </cfRule>
    <cfRule type="expression" dxfId="10074" priority="866">
      <formula>$C5&lt;$E$3</formula>
    </cfRule>
    <cfRule type="cellIs" dxfId="10073" priority="867" operator="equal">
      <formula>0</formula>
    </cfRule>
    <cfRule type="expression" dxfId="10072" priority="868">
      <formula>$C5&gt;$E$3</formula>
    </cfRule>
  </conditionalFormatting>
  <conditionalFormatting sqref="K5:K9">
    <cfRule type="expression" dxfId="10071" priority="864">
      <formula>$C5&lt;$E$3</formula>
    </cfRule>
  </conditionalFormatting>
  <conditionalFormatting sqref="K5:K9">
    <cfRule type="expression" dxfId="10070" priority="860">
      <formula>$C5=$E$3</formula>
    </cfRule>
    <cfRule type="expression" dxfId="10069" priority="861">
      <formula>$C5&lt;$E$3</formula>
    </cfRule>
    <cfRule type="cellIs" dxfId="10068" priority="862" operator="equal">
      <formula>0</formula>
    </cfRule>
    <cfRule type="expression" dxfId="10067" priority="863">
      <formula>$C5&gt;$E$3</formula>
    </cfRule>
  </conditionalFormatting>
  <conditionalFormatting sqref="K5:K9">
    <cfRule type="expression" dxfId="10066" priority="859">
      <formula>$C5&lt;$E$3</formula>
    </cfRule>
  </conditionalFormatting>
  <conditionalFormatting sqref="K5:K9">
    <cfRule type="expression" dxfId="10065" priority="855">
      <formula>$C5=$E$3</formula>
    </cfRule>
    <cfRule type="expression" dxfId="10064" priority="856">
      <formula>$C5&lt;$E$3</formula>
    </cfRule>
    <cfRule type="cellIs" dxfId="10063" priority="857" operator="equal">
      <formula>0</formula>
    </cfRule>
    <cfRule type="expression" dxfId="10062" priority="858">
      <formula>$C5&gt;$E$3</formula>
    </cfRule>
  </conditionalFormatting>
  <conditionalFormatting sqref="K5:K9">
    <cfRule type="expression" dxfId="10061" priority="854">
      <formula>$C5&lt;$E$3</formula>
    </cfRule>
  </conditionalFormatting>
  <conditionalFormatting sqref="K5:K9">
    <cfRule type="expression" dxfId="10060" priority="850">
      <formula>$C5=$E$3</formula>
    </cfRule>
    <cfRule type="expression" dxfId="10059" priority="851">
      <formula>$C5&lt;$E$3</formula>
    </cfRule>
    <cfRule type="cellIs" dxfId="10058" priority="852" operator="equal">
      <formula>0</formula>
    </cfRule>
    <cfRule type="expression" dxfId="10057" priority="853">
      <formula>$C5&gt;$E$3</formula>
    </cfRule>
  </conditionalFormatting>
  <conditionalFormatting sqref="K5:K9">
    <cfRule type="expression" dxfId="10056" priority="849">
      <formula>$E5=""</formula>
    </cfRule>
  </conditionalFormatting>
  <conditionalFormatting sqref="K5:K9">
    <cfRule type="expression" dxfId="10055" priority="848">
      <formula>$C5&lt;$E$3</formula>
    </cfRule>
  </conditionalFormatting>
  <conditionalFormatting sqref="K5:K9">
    <cfRule type="expression" dxfId="10054" priority="847">
      <formula>$E5=""</formula>
    </cfRule>
  </conditionalFormatting>
  <conditionalFormatting sqref="K5:K9">
    <cfRule type="expression" dxfId="10053" priority="846">
      <formula>$E5=""</formula>
    </cfRule>
  </conditionalFormatting>
  <conditionalFormatting sqref="K5:K9">
    <cfRule type="expression" dxfId="10052" priority="845">
      <formula>$C5&lt;$E$3</formula>
    </cfRule>
  </conditionalFormatting>
  <conditionalFormatting sqref="K5:K9">
    <cfRule type="expression" dxfId="10051" priority="844">
      <formula>$E5=""</formula>
    </cfRule>
  </conditionalFormatting>
  <conditionalFormatting sqref="K5:K9">
    <cfRule type="expression" dxfId="10050" priority="843">
      <formula>$C5&lt;$E$3</formula>
    </cfRule>
  </conditionalFormatting>
  <conditionalFormatting sqref="K5:K9">
    <cfRule type="expression" dxfId="10049" priority="842">
      <formula>$E5=""</formula>
    </cfRule>
  </conditionalFormatting>
  <conditionalFormatting sqref="K5:K9">
    <cfRule type="expression" dxfId="10048" priority="841">
      <formula>$C5&lt;$E$3</formula>
    </cfRule>
  </conditionalFormatting>
  <conditionalFormatting sqref="K5:K9">
    <cfRule type="expression" dxfId="10047" priority="840">
      <formula>$E5=""</formula>
    </cfRule>
  </conditionalFormatting>
  <conditionalFormatting sqref="H23:H29 H32 H14:H20 H11">
    <cfRule type="cellIs" dxfId="10046" priority="839" stopIfTrue="1" operator="lessThan">
      <formula>0</formula>
    </cfRule>
  </conditionalFormatting>
  <conditionalFormatting sqref="H12">
    <cfRule type="expression" dxfId="10045" priority="838">
      <formula>$F12&gt;=$F13</formula>
    </cfRule>
  </conditionalFormatting>
  <conditionalFormatting sqref="H21">
    <cfRule type="expression" dxfId="10044" priority="837">
      <formula>$F21&gt;=$F22</formula>
    </cfRule>
  </conditionalFormatting>
  <conditionalFormatting sqref="H30">
    <cfRule type="expression" dxfId="10043" priority="836">
      <formula>$F30&gt;=$F31</formula>
    </cfRule>
  </conditionalFormatting>
  <conditionalFormatting sqref="H12">
    <cfRule type="expression" dxfId="10042" priority="835">
      <formula>$F12&gt;=$F13</formula>
    </cfRule>
  </conditionalFormatting>
  <conditionalFormatting sqref="H21">
    <cfRule type="expression" dxfId="10041" priority="834">
      <formula>$F21&gt;=$F22</formula>
    </cfRule>
  </conditionalFormatting>
  <conditionalFormatting sqref="H30">
    <cfRule type="expression" dxfId="10040" priority="833">
      <formula>$F30&gt;=$F31</formula>
    </cfRule>
  </conditionalFormatting>
  <conditionalFormatting sqref="H11">
    <cfRule type="expression" dxfId="10039" priority="831">
      <formula>$C11&lt;$E$3</formula>
    </cfRule>
  </conditionalFormatting>
  <conditionalFormatting sqref="H11">
    <cfRule type="expression" dxfId="10038" priority="828">
      <formula>$C11=$E$3</formula>
    </cfRule>
    <cfRule type="expression" dxfId="10037" priority="829">
      <formula>$C11&lt;$E$3</formula>
    </cfRule>
    <cfRule type="cellIs" dxfId="10036" priority="830" operator="equal">
      <formula>0</formula>
    </cfRule>
    <cfRule type="expression" dxfId="10035" priority="832">
      <formula>$C11&gt;$E$3</formula>
    </cfRule>
  </conditionalFormatting>
  <conditionalFormatting sqref="H11">
    <cfRule type="expression" dxfId="10034" priority="827">
      <formula>$C11&lt;$E$3</formula>
    </cfRule>
  </conditionalFormatting>
  <conditionalFormatting sqref="H11">
    <cfRule type="expression" dxfId="10033" priority="823">
      <formula>$C11=$E$3</formula>
    </cfRule>
    <cfRule type="expression" dxfId="10032" priority="824">
      <formula>$C11&lt;$E$3</formula>
    </cfRule>
    <cfRule type="cellIs" dxfId="10031" priority="825" operator="equal">
      <formula>0</formula>
    </cfRule>
    <cfRule type="expression" dxfId="10030" priority="826">
      <formula>$C11&gt;$E$3</formula>
    </cfRule>
  </conditionalFormatting>
  <conditionalFormatting sqref="H11">
    <cfRule type="expression" dxfId="10029" priority="822">
      <formula>$C11&lt;$E$3</formula>
    </cfRule>
  </conditionalFormatting>
  <conditionalFormatting sqref="H11">
    <cfRule type="expression" dxfId="10028" priority="818">
      <formula>$C11=$E$3</formula>
    </cfRule>
    <cfRule type="expression" dxfId="10027" priority="819">
      <formula>$C11&lt;$E$3</formula>
    </cfRule>
    <cfRule type="cellIs" dxfId="10026" priority="820" operator="equal">
      <formula>0</formula>
    </cfRule>
    <cfRule type="expression" dxfId="10025" priority="821">
      <formula>$C11&gt;$E$3</formula>
    </cfRule>
  </conditionalFormatting>
  <conditionalFormatting sqref="H11">
    <cfRule type="expression" dxfId="10024" priority="817">
      <formula>$C11&lt;$E$3</formula>
    </cfRule>
  </conditionalFormatting>
  <conditionalFormatting sqref="H11">
    <cfRule type="expression" dxfId="10023" priority="813">
      <formula>$C11=$E$3</formula>
    </cfRule>
    <cfRule type="expression" dxfId="10022" priority="814">
      <formula>$C11&lt;$E$3</formula>
    </cfRule>
    <cfRule type="cellIs" dxfId="10021" priority="815" operator="equal">
      <formula>0</formula>
    </cfRule>
    <cfRule type="expression" dxfId="10020" priority="816">
      <formula>$C11&gt;$E$3</formula>
    </cfRule>
  </conditionalFormatting>
  <conditionalFormatting sqref="H11">
    <cfRule type="expression" dxfId="10019" priority="812">
      <formula>$E11=""</formula>
    </cfRule>
  </conditionalFormatting>
  <conditionalFormatting sqref="H11">
    <cfRule type="expression" dxfId="10018" priority="811">
      <formula>$C11&lt;$E$3</formula>
    </cfRule>
  </conditionalFormatting>
  <conditionalFormatting sqref="H11">
    <cfRule type="expression" dxfId="10017" priority="810">
      <formula>$E11=""</formula>
    </cfRule>
  </conditionalFormatting>
  <conditionalFormatting sqref="H11">
    <cfRule type="expression" dxfId="10016" priority="809">
      <formula>$E11=""</formula>
    </cfRule>
  </conditionalFormatting>
  <conditionalFormatting sqref="H11">
    <cfRule type="expression" dxfId="10015" priority="808">
      <formula>$C11&lt;$E$3</formula>
    </cfRule>
  </conditionalFormatting>
  <conditionalFormatting sqref="H11">
    <cfRule type="expression" dxfId="10014" priority="807">
      <formula>$E11=""</formula>
    </cfRule>
  </conditionalFormatting>
  <conditionalFormatting sqref="H11">
    <cfRule type="expression" dxfId="10013" priority="806">
      <formula>$C11&lt;$E$3</formula>
    </cfRule>
  </conditionalFormatting>
  <conditionalFormatting sqref="H11">
    <cfRule type="expression" dxfId="10012" priority="805">
      <formula>$E11=""</formula>
    </cfRule>
  </conditionalFormatting>
  <conditionalFormatting sqref="H11">
    <cfRule type="expression" dxfId="10011" priority="804">
      <formula>$C11&lt;$E$3</formula>
    </cfRule>
  </conditionalFormatting>
  <conditionalFormatting sqref="H11">
    <cfRule type="expression" dxfId="10010" priority="803">
      <formula>$E11=""</formula>
    </cfRule>
  </conditionalFormatting>
  <conditionalFormatting sqref="H14:H20">
    <cfRule type="expression" dxfId="10009" priority="801">
      <formula>$C14&lt;$E$3</formula>
    </cfRule>
  </conditionalFormatting>
  <conditionalFormatting sqref="H14:H20">
    <cfRule type="expression" dxfId="10008" priority="798">
      <formula>$C14=$E$3</formula>
    </cfRule>
    <cfRule type="expression" dxfId="10007" priority="799">
      <formula>$C14&lt;$E$3</formula>
    </cfRule>
    <cfRule type="cellIs" dxfId="10006" priority="800" operator="equal">
      <formula>0</formula>
    </cfRule>
    <cfRule type="expression" dxfId="10005" priority="802">
      <formula>$C14&gt;$E$3</formula>
    </cfRule>
  </conditionalFormatting>
  <conditionalFormatting sqref="H14:H20">
    <cfRule type="expression" dxfId="10004" priority="797">
      <formula>$C14&lt;$E$3</formula>
    </cfRule>
  </conditionalFormatting>
  <conditionalFormatting sqref="H14:H20">
    <cfRule type="expression" dxfId="10003" priority="793">
      <formula>$C14=$E$3</formula>
    </cfRule>
    <cfRule type="expression" dxfId="10002" priority="794">
      <formula>$C14&lt;$E$3</formula>
    </cfRule>
    <cfRule type="cellIs" dxfId="10001" priority="795" operator="equal">
      <formula>0</formula>
    </cfRule>
    <cfRule type="expression" dxfId="10000" priority="796">
      <formula>$C14&gt;$E$3</formula>
    </cfRule>
  </conditionalFormatting>
  <conditionalFormatting sqref="H14:H20">
    <cfRule type="expression" dxfId="9999" priority="792">
      <formula>$C14&lt;$E$3</formula>
    </cfRule>
  </conditionalFormatting>
  <conditionalFormatting sqref="H14:H20">
    <cfRule type="expression" dxfId="9998" priority="788">
      <formula>$C14=$E$3</formula>
    </cfRule>
    <cfRule type="expression" dxfId="9997" priority="789">
      <formula>$C14&lt;$E$3</formula>
    </cfRule>
    <cfRule type="cellIs" dxfId="9996" priority="790" operator="equal">
      <formula>0</formula>
    </cfRule>
    <cfRule type="expression" dxfId="9995" priority="791">
      <formula>$C14&gt;$E$3</formula>
    </cfRule>
  </conditionalFormatting>
  <conditionalFormatting sqref="H14:H20">
    <cfRule type="expression" dxfId="9994" priority="787">
      <formula>$C14&lt;$E$3</formula>
    </cfRule>
  </conditionalFormatting>
  <conditionalFormatting sqref="H14:H20">
    <cfRule type="expression" dxfId="9993" priority="783">
      <formula>$C14=$E$3</formula>
    </cfRule>
    <cfRule type="expression" dxfId="9992" priority="784">
      <formula>$C14&lt;$E$3</formula>
    </cfRule>
    <cfRule type="cellIs" dxfId="9991" priority="785" operator="equal">
      <formula>0</formula>
    </cfRule>
    <cfRule type="expression" dxfId="9990" priority="786">
      <formula>$C14&gt;$E$3</formula>
    </cfRule>
  </conditionalFormatting>
  <conditionalFormatting sqref="H14:H20">
    <cfRule type="expression" dxfId="9989" priority="782">
      <formula>$E14=""</formula>
    </cfRule>
  </conditionalFormatting>
  <conditionalFormatting sqref="H14:H20">
    <cfRule type="expression" dxfId="9988" priority="781">
      <formula>$C14&lt;$E$3</formula>
    </cfRule>
  </conditionalFormatting>
  <conditionalFormatting sqref="H14:H20">
    <cfRule type="expression" dxfId="9987" priority="780">
      <formula>$E14=""</formula>
    </cfRule>
  </conditionalFormatting>
  <conditionalFormatting sqref="H14:H20">
    <cfRule type="expression" dxfId="9986" priority="779">
      <formula>$E14=""</formula>
    </cfRule>
  </conditionalFormatting>
  <conditionalFormatting sqref="H14:H20">
    <cfRule type="expression" dxfId="9985" priority="778">
      <formula>$C14&lt;$E$3</formula>
    </cfRule>
  </conditionalFormatting>
  <conditionalFormatting sqref="H14:H20">
    <cfRule type="expression" dxfId="9984" priority="777">
      <formula>$E14=""</formula>
    </cfRule>
  </conditionalFormatting>
  <conditionalFormatting sqref="H14:H20">
    <cfRule type="expression" dxfId="9983" priority="776">
      <formula>$C14&lt;$E$3</formula>
    </cfRule>
  </conditionalFormatting>
  <conditionalFormatting sqref="H14:H20">
    <cfRule type="expression" dxfId="9982" priority="775">
      <formula>$E14=""</formula>
    </cfRule>
  </conditionalFormatting>
  <conditionalFormatting sqref="H14:H20">
    <cfRule type="expression" dxfId="9981" priority="774">
      <formula>$C14&lt;$E$3</formula>
    </cfRule>
  </conditionalFormatting>
  <conditionalFormatting sqref="H14:H20">
    <cfRule type="expression" dxfId="9980" priority="773">
      <formula>$E14=""</formula>
    </cfRule>
  </conditionalFormatting>
  <conditionalFormatting sqref="H23:H29">
    <cfRule type="expression" dxfId="9979" priority="771">
      <formula>$C23&lt;$E$3</formula>
    </cfRule>
  </conditionalFormatting>
  <conditionalFormatting sqref="H23:H29">
    <cfRule type="expression" dxfId="9978" priority="768">
      <formula>$C23=$E$3</formula>
    </cfRule>
    <cfRule type="expression" dxfId="9977" priority="769">
      <formula>$C23&lt;$E$3</formula>
    </cfRule>
    <cfRule type="cellIs" dxfId="9976" priority="770" operator="equal">
      <formula>0</formula>
    </cfRule>
    <cfRule type="expression" dxfId="9975" priority="772">
      <formula>$C23&gt;$E$3</formula>
    </cfRule>
  </conditionalFormatting>
  <conditionalFormatting sqref="H23:H29">
    <cfRule type="expression" dxfId="9974" priority="767">
      <formula>$C23&lt;$E$3</formula>
    </cfRule>
  </conditionalFormatting>
  <conditionalFormatting sqref="H23:H29">
    <cfRule type="expression" dxfId="9973" priority="763">
      <formula>$C23=$E$3</formula>
    </cfRule>
    <cfRule type="expression" dxfId="9972" priority="764">
      <formula>$C23&lt;$E$3</formula>
    </cfRule>
    <cfRule type="cellIs" dxfId="9971" priority="765" operator="equal">
      <formula>0</formula>
    </cfRule>
    <cfRule type="expression" dxfId="9970" priority="766">
      <formula>$C23&gt;$E$3</formula>
    </cfRule>
  </conditionalFormatting>
  <conditionalFormatting sqref="H23:H29">
    <cfRule type="expression" dxfId="9969" priority="762">
      <formula>$C23&lt;$E$3</formula>
    </cfRule>
  </conditionalFormatting>
  <conditionalFormatting sqref="H23:H29">
    <cfRule type="expression" dxfId="9968" priority="758">
      <formula>$C23=$E$3</formula>
    </cfRule>
    <cfRule type="expression" dxfId="9967" priority="759">
      <formula>$C23&lt;$E$3</formula>
    </cfRule>
    <cfRule type="cellIs" dxfId="9966" priority="760" operator="equal">
      <formula>0</formula>
    </cfRule>
    <cfRule type="expression" dxfId="9965" priority="761">
      <formula>$C23&gt;$E$3</formula>
    </cfRule>
  </conditionalFormatting>
  <conditionalFormatting sqref="H23:H29">
    <cfRule type="expression" dxfId="9964" priority="757">
      <formula>$C23&lt;$E$3</formula>
    </cfRule>
  </conditionalFormatting>
  <conditionalFormatting sqref="H23:H29">
    <cfRule type="expression" dxfId="9963" priority="753">
      <formula>$C23=$E$3</formula>
    </cfRule>
    <cfRule type="expression" dxfId="9962" priority="754">
      <formula>$C23&lt;$E$3</formula>
    </cfRule>
    <cfRule type="cellIs" dxfId="9961" priority="755" operator="equal">
      <formula>0</formula>
    </cfRule>
    <cfRule type="expression" dxfId="9960" priority="756">
      <formula>$C23&gt;$E$3</formula>
    </cfRule>
  </conditionalFormatting>
  <conditionalFormatting sqref="H23:H29">
    <cfRule type="expression" dxfId="9959" priority="752">
      <formula>$E23=""</formula>
    </cfRule>
  </conditionalFormatting>
  <conditionalFormatting sqref="H23:H29">
    <cfRule type="expression" dxfId="9958" priority="751">
      <formula>$C23&lt;$E$3</formula>
    </cfRule>
  </conditionalFormatting>
  <conditionalFormatting sqref="H23:H29">
    <cfRule type="expression" dxfId="9957" priority="750">
      <formula>$E23=""</formula>
    </cfRule>
  </conditionalFormatting>
  <conditionalFormatting sqref="H23:H29">
    <cfRule type="expression" dxfId="9956" priority="749">
      <formula>$E23=""</formula>
    </cfRule>
  </conditionalFormatting>
  <conditionalFormatting sqref="H23:H29">
    <cfRule type="expression" dxfId="9955" priority="748">
      <formula>$C23&lt;$E$3</formula>
    </cfRule>
  </conditionalFormatting>
  <conditionalFormatting sqref="H23:H29">
    <cfRule type="expression" dxfId="9954" priority="747">
      <formula>$E23=""</formula>
    </cfRule>
  </conditionalFormatting>
  <conditionalFormatting sqref="H23:H29">
    <cfRule type="expression" dxfId="9953" priority="746">
      <formula>$C23&lt;$E$3</formula>
    </cfRule>
  </conditionalFormatting>
  <conditionalFormatting sqref="H23:H29">
    <cfRule type="expression" dxfId="9952" priority="745">
      <formula>$E23=""</formula>
    </cfRule>
  </conditionalFormatting>
  <conditionalFormatting sqref="H23:H29">
    <cfRule type="expression" dxfId="9951" priority="744">
      <formula>$C23&lt;$E$3</formula>
    </cfRule>
  </conditionalFormatting>
  <conditionalFormatting sqref="H23:H29">
    <cfRule type="expression" dxfId="9950" priority="743">
      <formula>$E23=""</formula>
    </cfRule>
  </conditionalFormatting>
  <conditionalFormatting sqref="H32">
    <cfRule type="expression" dxfId="9949" priority="741">
      <formula>$C32&lt;$E$3</formula>
    </cfRule>
  </conditionalFormatting>
  <conditionalFormatting sqref="H32">
    <cfRule type="expression" dxfId="9948" priority="738">
      <formula>$C32=$E$3</formula>
    </cfRule>
    <cfRule type="expression" dxfId="9947" priority="739">
      <formula>$C32&lt;$E$3</formula>
    </cfRule>
    <cfRule type="cellIs" dxfId="9946" priority="740" operator="equal">
      <formula>0</formula>
    </cfRule>
    <cfRule type="expression" dxfId="9945" priority="742">
      <formula>$C32&gt;$E$3</formula>
    </cfRule>
  </conditionalFormatting>
  <conditionalFormatting sqref="H32">
    <cfRule type="expression" dxfId="9944" priority="737">
      <formula>$C32&lt;$E$3</formula>
    </cfRule>
  </conditionalFormatting>
  <conditionalFormatting sqref="H32">
    <cfRule type="expression" dxfId="9943" priority="733">
      <formula>$C32=$E$3</formula>
    </cfRule>
    <cfRule type="expression" dxfId="9942" priority="734">
      <formula>$C32&lt;$E$3</formula>
    </cfRule>
    <cfRule type="cellIs" dxfId="9941" priority="735" operator="equal">
      <formula>0</formula>
    </cfRule>
    <cfRule type="expression" dxfId="9940" priority="736">
      <formula>$C32&gt;$E$3</formula>
    </cfRule>
  </conditionalFormatting>
  <conditionalFormatting sqref="H32">
    <cfRule type="expression" dxfId="9939" priority="732">
      <formula>$C32&lt;$E$3</formula>
    </cfRule>
  </conditionalFormatting>
  <conditionalFormatting sqref="H32">
    <cfRule type="expression" dxfId="9938" priority="728">
      <formula>$C32=$E$3</formula>
    </cfRule>
    <cfRule type="expression" dxfId="9937" priority="729">
      <formula>$C32&lt;$E$3</formula>
    </cfRule>
    <cfRule type="cellIs" dxfId="9936" priority="730" operator="equal">
      <formula>0</formula>
    </cfRule>
    <cfRule type="expression" dxfId="9935" priority="731">
      <formula>$C32&gt;$E$3</formula>
    </cfRule>
  </conditionalFormatting>
  <conditionalFormatting sqref="H32">
    <cfRule type="expression" dxfId="9934" priority="727">
      <formula>$C32&lt;$E$3</formula>
    </cfRule>
  </conditionalFormatting>
  <conditionalFormatting sqref="H32">
    <cfRule type="expression" dxfId="9933" priority="723">
      <formula>$C32=$E$3</formula>
    </cfRule>
    <cfRule type="expression" dxfId="9932" priority="724">
      <formula>$C32&lt;$E$3</formula>
    </cfRule>
    <cfRule type="cellIs" dxfId="9931" priority="725" operator="equal">
      <formula>0</formula>
    </cfRule>
    <cfRule type="expression" dxfId="9930" priority="726">
      <formula>$C32&gt;$E$3</formula>
    </cfRule>
  </conditionalFormatting>
  <conditionalFormatting sqref="H32">
    <cfRule type="expression" dxfId="9929" priority="722">
      <formula>$E32=""</formula>
    </cfRule>
  </conditionalFormatting>
  <conditionalFormatting sqref="H32">
    <cfRule type="expression" dxfId="9928" priority="721">
      <formula>$C32&lt;$E$3</formula>
    </cfRule>
  </conditionalFormatting>
  <conditionalFormatting sqref="H32">
    <cfRule type="expression" dxfId="9927" priority="720">
      <formula>$E32=""</formula>
    </cfRule>
  </conditionalFormatting>
  <conditionalFormatting sqref="H32">
    <cfRule type="expression" dxfId="9926" priority="719">
      <formula>$E32=""</formula>
    </cfRule>
  </conditionalFormatting>
  <conditionalFormatting sqref="H32">
    <cfRule type="expression" dxfId="9925" priority="718">
      <formula>$C32&lt;$E$3</formula>
    </cfRule>
  </conditionalFormatting>
  <conditionalFormatting sqref="H32">
    <cfRule type="expression" dxfId="9924" priority="717">
      <formula>$E32=""</formula>
    </cfRule>
  </conditionalFormatting>
  <conditionalFormatting sqref="H32">
    <cfRule type="expression" dxfId="9923" priority="716">
      <formula>$C32&lt;$E$3</formula>
    </cfRule>
  </conditionalFormatting>
  <conditionalFormatting sqref="H32">
    <cfRule type="expression" dxfId="9922" priority="715">
      <formula>$E32=""</formula>
    </cfRule>
  </conditionalFormatting>
  <conditionalFormatting sqref="H32">
    <cfRule type="expression" dxfId="9921" priority="714">
      <formula>$C32&lt;$E$3</formula>
    </cfRule>
  </conditionalFormatting>
  <conditionalFormatting sqref="H32">
    <cfRule type="expression" dxfId="9920" priority="713">
      <formula>$E32=""</formula>
    </cfRule>
  </conditionalFormatting>
  <conditionalFormatting sqref="F52:H52">
    <cfRule type="expression" dxfId="9919" priority="1210" stopIfTrue="1">
      <formula>$H$52=-1E-55</formula>
    </cfRule>
    <cfRule type="expression" dxfId="9918" priority="1211">
      <formula>$F52&gt;=$F53</formula>
    </cfRule>
  </conditionalFormatting>
  <conditionalFormatting sqref="K48:K49">
    <cfRule type="cellIs" dxfId="9917" priority="711" stopIfTrue="1" operator="lessThan">
      <formula>0</formula>
    </cfRule>
  </conditionalFormatting>
  <conditionalFormatting sqref="K48:K49">
    <cfRule type="expression" dxfId="9916" priority="710">
      <formula>$C68&lt;$E$3</formula>
    </cfRule>
  </conditionalFormatting>
  <conditionalFormatting sqref="K48:K49">
    <cfRule type="expression" dxfId="9915" priority="706">
      <formula>$C68=$E$3</formula>
    </cfRule>
    <cfRule type="expression" dxfId="9914" priority="707">
      <formula>$C68&lt;$E$3</formula>
    </cfRule>
    <cfRule type="cellIs" dxfId="9913" priority="708" operator="equal">
      <formula>0</formula>
    </cfRule>
    <cfRule type="expression" dxfId="9912" priority="709">
      <formula>$C68&gt;$E$3</formula>
    </cfRule>
  </conditionalFormatting>
  <conditionalFormatting sqref="K48:K49">
    <cfRule type="expression" dxfId="9911" priority="705">
      <formula>$C68&lt;$E$3</formula>
    </cfRule>
  </conditionalFormatting>
  <conditionalFormatting sqref="K48:K49">
    <cfRule type="expression" dxfId="9910" priority="701">
      <formula>$C68=$E$3</formula>
    </cfRule>
    <cfRule type="expression" dxfId="9909" priority="702">
      <formula>$C68&lt;$E$3</formula>
    </cfRule>
    <cfRule type="cellIs" dxfId="9908" priority="703" operator="equal">
      <formula>0</formula>
    </cfRule>
    <cfRule type="expression" dxfId="9907" priority="704">
      <formula>$C68&gt;$E$3</formula>
    </cfRule>
  </conditionalFormatting>
  <conditionalFormatting sqref="K48:K49">
    <cfRule type="expression" dxfId="9906" priority="700">
      <formula>$C68&lt;$E$3</formula>
    </cfRule>
  </conditionalFormatting>
  <conditionalFormatting sqref="K48:K49">
    <cfRule type="expression" dxfId="9905" priority="696">
      <formula>$C68=$E$3</formula>
    </cfRule>
    <cfRule type="expression" dxfId="9904" priority="697">
      <formula>$C68&lt;$E$3</formula>
    </cfRule>
    <cfRule type="cellIs" dxfId="9903" priority="698" operator="equal">
      <formula>0</formula>
    </cfRule>
    <cfRule type="expression" dxfId="9902" priority="699">
      <formula>$C68&gt;$E$3</formula>
    </cfRule>
  </conditionalFormatting>
  <conditionalFormatting sqref="K48:K49">
    <cfRule type="expression" dxfId="9901" priority="695">
      <formula>$C68&lt;$E$3</formula>
    </cfRule>
  </conditionalFormatting>
  <conditionalFormatting sqref="K48:K49">
    <cfRule type="expression" dxfId="9900" priority="691">
      <formula>$C68=$E$3</formula>
    </cfRule>
    <cfRule type="expression" dxfId="9899" priority="692">
      <formula>$C68&lt;$E$3</formula>
    </cfRule>
    <cfRule type="cellIs" dxfId="9898" priority="693" operator="equal">
      <formula>0</formula>
    </cfRule>
    <cfRule type="expression" dxfId="9897" priority="694">
      <formula>$C68&gt;$E$3</formula>
    </cfRule>
  </conditionalFormatting>
  <conditionalFormatting sqref="K48:K49">
    <cfRule type="expression" dxfId="9896" priority="690">
      <formula>$E68=""</formula>
    </cfRule>
  </conditionalFormatting>
  <conditionalFormatting sqref="K48:K49">
    <cfRule type="expression" dxfId="9895" priority="689">
      <formula>$C68&lt;$E$3</formula>
    </cfRule>
  </conditionalFormatting>
  <conditionalFormatting sqref="K48:K49">
    <cfRule type="expression" dxfId="9894" priority="688">
      <formula>$E68=""</formula>
    </cfRule>
  </conditionalFormatting>
  <conditionalFormatting sqref="K48:K49">
    <cfRule type="expression" dxfId="9893" priority="687">
      <formula>$E68=""</formula>
    </cfRule>
  </conditionalFormatting>
  <conditionalFormatting sqref="K48:K49">
    <cfRule type="expression" dxfId="9892" priority="686">
      <formula>$C68&lt;$E$3</formula>
    </cfRule>
  </conditionalFormatting>
  <conditionalFormatting sqref="K48:K49">
    <cfRule type="expression" dxfId="9891" priority="685">
      <formula>$E68=""</formula>
    </cfRule>
  </conditionalFormatting>
  <conditionalFormatting sqref="K48:K49">
    <cfRule type="expression" dxfId="9890" priority="684">
      <formula>$C68&lt;$E$3</formula>
    </cfRule>
  </conditionalFormatting>
  <conditionalFormatting sqref="K48:K49">
    <cfRule type="expression" dxfId="9889" priority="683">
      <formula>$E68=""</formula>
    </cfRule>
  </conditionalFormatting>
  <conditionalFormatting sqref="K48:K49">
    <cfRule type="expression" dxfId="9888" priority="682">
      <formula>$C68&lt;$E$3</formula>
    </cfRule>
  </conditionalFormatting>
  <conditionalFormatting sqref="K48:K49">
    <cfRule type="expression" dxfId="9887" priority="681">
      <formula>$E68=""</formula>
    </cfRule>
  </conditionalFormatting>
  <conditionalFormatting sqref="K48:K49">
    <cfRule type="expression" dxfId="9886" priority="680">
      <formula>$C68&lt;$E$3</formula>
    </cfRule>
  </conditionalFormatting>
  <conditionalFormatting sqref="K48:K49">
    <cfRule type="expression" dxfId="9885" priority="676">
      <formula>$C68=$E$3</formula>
    </cfRule>
    <cfRule type="expression" dxfId="9884" priority="677">
      <formula>$C68&lt;$E$3</formula>
    </cfRule>
    <cfRule type="cellIs" dxfId="9883" priority="678" operator="equal">
      <formula>0</formula>
    </cfRule>
    <cfRule type="expression" dxfId="9882" priority="679">
      <formula>$C68&gt;$E$3</formula>
    </cfRule>
  </conditionalFormatting>
  <conditionalFormatting sqref="K48:K49">
    <cfRule type="expression" dxfId="9881" priority="675">
      <formula>$C68&lt;$E$3</formula>
    </cfRule>
  </conditionalFormatting>
  <conditionalFormatting sqref="K48:K49">
    <cfRule type="expression" dxfId="9880" priority="671">
      <formula>$C68=$E$3</formula>
    </cfRule>
    <cfRule type="expression" dxfId="9879" priority="672">
      <formula>$C68&lt;$E$3</formula>
    </cfRule>
    <cfRule type="cellIs" dxfId="9878" priority="673" operator="equal">
      <formula>0</formula>
    </cfRule>
    <cfRule type="expression" dxfId="9877" priority="674">
      <formula>$C68&gt;$E$3</formula>
    </cfRule>
  </conditionalFormatting>
  <conditionalFormatting sqref="K48:K49">
    <cfRule type="expression" dxfId="9876" priority="670">
      <formula>$C68&lt;$E$3</formula>
    </cfRule>
  </conditionalFormatting>
  <conditionalFormatting sqref="K48:K49">
    <cfRule type="expression" dxfId="9875" priority="666">
      <formula>$C68=$E$3</formula>
    </cfRule>
    <cfRule type="expression" dxfId="9874" priority="667">
      <formula>$C68&lt;$E$3</formula>
    </cfRule>
    <cfRule type="cellIs" dxfId="9873" priority="668" operator="equal">
      <formula>0</formula>
    </cfRule>
    <cfRule type="expression" dxfId="9872" priority="669">
      <formula>$C68&gt;$E$3</formula>
    </cfRule>
  </conditionalFormatting>
  <conditionalFormatting sqref="K48:K49">
    <cfRule type="expression" dxfId="9871" priority="665">
      <formula>$C68&lt;$E$3</formula>
    </cfRule>
  </conditionalFormatting>
  <conditionalFormatting sqref="K48:K49">
    <cfRule type="expression" dxfId="9870" priority="661">
      <formula>$C68=$E$3</formula>
    </cfRule>
    <cfRule type="expression" dxfId="9869" priority="662">
      <formula>$C68&lt;$E$3</formula>
    </cfRule>
    <cfRule type="cellIs" dxfId="9868" priority="663" operator="equal">
      <formula>0</formula>
    </cfRule>
    <cfRule type="expression" dxfId="9867" priority="664">
      <formula>$C68&gt;$E$3</formula>
    </cfRule>
  </conditionalFormatting>
  <conditionalFormatting sqref="K48:K49">
    <cfRule type="expression" dxfId="9866" priority="660">
      <formula>$E68=""</formula>
    </cfRule>
  </conditionalFormatting>
  <conditionalFormatting sqref="K48:K49">
    <cfRule type="expression" dxfId="9865" priority="659">
      <formula>$C68&lt;$E$3</formula>
    </cfRule>
  </conditionalFormatting>
  <conditionalFormatting sqref="K48:K49">
    <cfRule type="expression" dxfId="9864" priority="658">
      <formula>$E68=""</formula>
    </cfRule>
  </conditionalFormatting>
  <conditionalFormatting sqref="K48:K49">
    <cfRule type="expression" dxfId="9863" priority="657">
      <formula>$E68=""</formula>
    </cfRule>
  </conditionalFormatting>
  <conditionalFormatting sqref="K48:K49">
    <cfRule type="expression" dxfId="9862" priority="656">
      <formula>$C68&lt;$E$3</formula>
    </cfRule>
  </conditionalFormatting>
  <conditionalFormatting sqref="K48:K49">
    <cfRule type="expression" dxfId="9861" priority="655">
      <formula>$E68=""</formula>
    </cfRule>
  </conditionalFormatting>
  <conditionalFormatting sqref="K48:K49">
    <cfRule type="expression" dxfId="9860" priority="654">
      <formula>$C68&lt;$E$3</formula>
    </cfRule>
  </conditionalFormatting>
  <conditionalFormatting sqref="K48:K49">
    <cfRule type="expression" dxfId="9859" priority="653">
      <formula>$E68=""</formula>
    </cfRule>
  </conditionalFormatting>
  <conditionalFormatting sqref="K48:K49">
    <cfRule type="expression" dxfId="9858" priority="652">
      <formula>$C68&lt;$E$3</formula>
    </cfRule>
  </conditionalFormatting>
  <conditionalFormatting sqref="K48:K49">
    <cfRule type="expression" dxfId="9857" priority="651">
      <formula>$E68=""</formula>
    </cfRule>
  </conditionalFormatting>
  <conditionalFormatting sqref="K5:K11">
    <cfRule type="expression" dxfId="9856" priority="649">
      <formula>$C5&lt;$E$3</formula>
    </cfRule>
  </conditionalFormatting>
  <conditionalFormatting sqref="K5:K11">
    <cfRule type="expression" dxfId="9855" priority="646">
      <formula>$C5=$E$3</formula>
    </cfRule>
    <cfRule type="expression" dxfId="9854" priority="647">
      <formula>$C5&lt;$E$3</formula>
    </cfRule>
    <cfRule type="cellIs" dxfId="9853" priority="648" operator="equal">
      <formula>0</formula>
    </cfRule>
    <cfRule type="expression" dxfId="9852" priority="650">
      <formula>$C5&gt;$E$3</formula>
    </cfRule>
  </conditionalFormatting>
  <conditionalFormatting sqref="K5:K11">
    <cfRule type="expression" dxfId="9851" priority="645">
      <formula>$E5=""</formula>
    </cfRule>
  </conditionalFormatting>
  <conditionalFormatting sqref="K5:K11">
    <cfRule type="expression" dxfId="9850" priority="644">
      <formula>$E5=""</formula>
    </cfRule>
  </conditionalFormatting>
  <conditionalFormatting sqref="K5:K11">
    <cfRule type="expression" dxfId="9849" priority="643">
      <formula>$E5=""</formula>
    </cfRule>
  </conditionalFormatting>
  <conditionalFormatting sqref="K41:K47">
    <cfRule type="cellIs" dxfId="9848" priority="642" stopIfTrue="1" operator="lessThan">
      <formula>0</formula>
    </cfRule>
  </conditionalFormatting>
  <conditionalFormatting sqref="K41:K47">
    <cfRule type="cellIs" dxfId="9847" priority="641" stopIfTrue="1" operator="lessThan">
      <formula>0</formula>
    </cfRule>
  </conditionalFormatting>
  <conditionalFormatting sqref="K41:K47">
    <cfRule type="cellIs" dxfId="9846" priority="640" stopIfTrue="1" operator="lessThan">
      <formula>0</formula>
    </cfRule>
  </conditionalFormatting>
  <conditionalFormatting sqref="K50:K51">
    <cfRule type="expression" dxfId="9845" priority="638">
      <formula>$C50&lt;$E$3</formula>
    </cfRule>
  </conditionalFormatting>
  <conditionalFormatting sqref="K50:K51">
    <cfRule type="expression" dxfId="9844" priority="635">
      <formula>$C50=$E$3</formula>
    </cfRule>
    <cfRule type="expression" dxfId="9843" priority="636">
      <formula>$C50&lt;$E$3</formula>
    </cfRule>
    <cfRule type="cellIs" dxfId="9842" priority="637" operator="equal">
      <formula>0</formula>
    </cfRule>
    <cfRule type="expression" dxfId="9841" priority="639">
      <formula>$C50&gt;$E$3</formula>
    </cfRule>
  </conditionalFormatting>
  <conditionalFormatting sqref="K50:K51">
    <cfRule type="expression" dxfId="9840" priority="634">
      <formula>$E50=""</formula>
    </cfRule>
  </conditionalFormatting>
  <conditionalFormatting sqref="K50:K51">
    <cfRule type="expression" dxfId="9839" priority="633">
      <formula>$E50=""</formula>
    </cfRule>
  </conditionalFormatting>
  <conditionalFormatting sqref="K50:K51">
    <cfRule type="expression" dxfId="9838" priority="632">
      <formula>$E50=""</formula>
    </cfRule>
  </conditionalFormatting>
  <conditionalFormatting sqref="H33:H37">
    <cfRule type="cellIs" dxfId="9837" priority="626" stopIfTrue="1" operator="lessThan">
      <formula>0</formula>
    </cfRule>
  </conditionalFormatting>
  <conditionalFormatting sqref="H33:H37">
    <cfRule type="expression" dxfId="9836" priority="630">
      <formula>$C33&lt;$E$3</formula>
    </cfRule>
  </conditionalFormatting>
  <conditionalFormatting sqref="H33:H37">
    <cfRule type="expression" dxfId="9835" priority="627">
      <formula>$C33=$E$3</formula>
    </cfRule>
    <cfRule type="expression" dxfId="9834" priority="628">
      <formula>$C33&lt;$E$3</formula>
    </cfRule>
    <cfRule type="cellIs" dxfId="9833" priority="629" operator="equal">
      <formula>0</formula>
    </cfRule>
    <cfRule type="expression" dxfId="9832" priority="631">
      <formula>$C33&gt;$E$3</formula>
    </cfRule>
  </conditionalFormatting>
  <conditionalFormatting sqref="H33:H37">
    <cfRule type="expression" dxfId="9831" priority="625">
      <formula>$C33&lt;$E$3</formula>
    </cfRule>
  </conditionalFormatting>
  <conditionalFormatting sqref="H33:H37">
    <cfRule type="expression" dxfId="9830" priority="621">
      <formula>$C33=$E$3</formula>
    </cfRule>
    <cfRule type="expression" dxfId="9829" priority="622">
      <formula>$C33&lt;$E$3</formula>
    </cfRule>
    <cfRule type="cellIs" dxfId="9828" priority="623" operator="equal">
      <formula>0</formula>
    </cfRule>
    <cfRule type="expression" dxfId="9827" priority="624">
      <formula>$C33&gt;$E$3</formula>
    </cfRule>
  </conditionalFormatting>
  <conditionalFormatting sqref="H33:H37">
    <cfRule type="expression" dxfId="9826" priority="620">
      <formula>$E33=""</formula>
    </cfRule>
  </conditionalFormatting>
  <conditionalFormatting sqref="H36">
    <cfRule type="expression" dxfId="9825" priority="619">
      <formula>$E36=""</formula>
    </cfRule>
  </conditionalFormatting>
  <conditionalFormatting sqref="H33:H37">
    <cfRule type="expression" dxfId="9824" priority="618">
      <formula>$C33&lt;$E$3</formula>
    </cfRule>
  </conditionalFormatting>
  <conditionalFormatting sqref="H33:H37">
    <cfRule type="expression" dxfId="9823" priority="614">
      <formula>$C33=$E$3</formula>
    </cfRule>
    <cfRule type="expression" dxfId="9822" priority="615">
      <formula>$C33&lt;$E$3</formula>
    </cfRule>
    <cfRule type="cellIs" dxfId="9821" priority="616" operator="equal">
      <formula>0</formula>
    </cfRule>
    <cfRule type="expression" dxfId="9820" priority="617">
      <formula>$C33&gt;$E$3</formula>
    </cfRule>
  </conditionalFormatting>
  <conditionalFormatting sqref="H33:H37">
    <cfRule type="expression" dxfId="9819" priority="613">
      <formula>$C33&lt;$E$3</formula>
    </cfRule>
  </conditionalFormatting>
  <conditionalFormatting sqref="H33:H37">
    <cfRule type="expression" dxfId="9818" priority="609">
      <formula>$C33=$E$3</formula>
    </cfRule>
    <cfRule type="expression" dxfId="9817" priority="610">
      <formula>$C33&lt;$E$3</formula>
    </cfRule>
    <cfRule type="cellIs" dxfId="9816" priority="611" operator="equal">
      <formula>0</formula>
    </cfRule>
    <cfRule type="expression" dxfId="9815" priority="612">
      <formula>$C33&gt;$E$3</formula>
    </cfRule>
  </conditionalFormatting>
  <conditionalFormatting sqref="H33:H37">
    <cfRule type="expression" dxfId="9814" priority="608">
      <formula>$E33=""</formula>
    </cfRule>
  </conditionalFormatting>
  <conditionalFormatting sqref="H33:H37">
    <cfRule type="expression" dxfId="9813" priority="607">
      <formula>$C33&lt;$E$3</formula>
    </cfRule>
  </conditionalFormatting>
  <conditionalFormatting sqref="H33:H37">
    <cfRule type="expression" dxfId="9812" priority="606">
      <formula>$E33=""</formula>
    </cfRule>
  </conditionalFormatting>
  <conditionalFormatting sqref="H33:H37">
    <cfRule type="expression" dxfId="9811" priority="605">
      <formula>$E33=""</formula>
    </cfRule>
  </conditionalFormatting>
  <conditionalFormatting sqref="H33:H37">
    <cfRule type="expression" dxfId="9810" priority="604">
      <formula>$C33&lt;$E$3</formula>
    </cfRule>
  </conditionalFormatting>
  <conditionalFormatting sqref="H33:H37">
    <cfRule type="expression" dxfId="9809" priority="603">
      <formula>$E33=""</formula>
    </cfRule>
  </conditionalFormatting>
  <conditionalFormatting sqref="H33:H37">
    <cfRule type="expression" dxfId="9808" priority="602">
      <formula>$C33&lt;$E$3</formula>
    </cfRule>
  </conditionalFormatting>
  <conditionalFormatting sqref="H33:H37">
    <cfRule type="expression" dxfId="9807" priority="601">
      <formula>$E33=""</formula>
    </cfRule>
  </conditionalFormatting>
  <conditionalFormatting sqref="H33:H37">
    <cfRule type="expression" dxfId="9806" priority="600">
      <formula>$C33&lt;$E$3</formula>
    </cfRule>
  </conditionalFormatting>
  <conditionalFormatting sqref="H33:H37">
    <cfRule type="expression" dxfId="9805" priority="599">
      <formula>$E33=""</formula>
    </cfRule>
  </conditionalFormatting>
  <conditionalFormatting sqref="J39:N40">
    <cfRule type="expression" dxfId="9804" priority="598">
      <formula>$L$40=0</formula>
    </cfRule>
  </conditionalFormatting>
  <conditionalFormatting sqref="K19">
    <cfRule type="expression" dxfId="9803" priority="597">
      <formula>$C19&lt;$E$3</formula>
    </cfRule>
  </conditionalFormatting>
  <conditionalFormatting sqref="K19">
    <cfRule type="expression" dxfId="9802" priority="593">
      <formula>$C19=$E$3</formula>
    </cfRule>
    <cfRule type="expression" dxfId="9801" priority="594">
      <formula>$C19&lt;$E$3</formula>
    </cfRule>
    <cfRule type="cellIs" dxfId="9800" priority="595" operator="equal">
      <formula>0</formula>
    </cfRule>
    <cfRule type="expression" dxfId="9799" priority="596">
      <formula>$C19&gt;$E$3</formula>
    </cfRule>
  </conditionalFormatting>
  <conditionalFormatting sqref="K19">
    <cfRule type="expression" dxfId="9798" priority="592">
      <formula>$C19&lt;$E$3</formula>
    </cfRule>
  </conditionalFormatting>
  <conditionalFormatting sqref="K19">
    <cfRule type="expression" dxfId="9797" priority="588">
      <formula>$C19=$E$3</formula>
    </cfRule>
    <cfRule type="expression" dxfId="9796" priority="589">
      <formula>$C19&lt;$E$3</formula>
    </cfRule>
    <cfRule type="cellIs" dxfId="9795" priority="590" operator="equal">
      <formula>0</formula>
    </cfRule>
    <cfRule type="expression" dxfId="9794" priority="591">
      <formula>$C19&gt;$E$3</formula>
    </cfRule>
  </conditionalFormatting>
  <conditionalFormatting sqref="K19">
    <cfRule type="expression" dxfId="9793" priority="587">
      <formula>$C19&lt;$E$3</formula>
    </cfRule>
  </conditionalFormatting>
  <conditionalFormatting sqref="K19">
    <cfRule type="expression" dxfId="9792" priority="583">
      <formula>$C19=$E$3</formula>
    </cfRule>
    <cfRule type="expression" dxfId="9791" priority="584">
      <formula>$C19&lt;$E$3</formula>
    </cfRule>
    <cfRule type="cellIs" dxfId="9790" priority="585" operator="equal">
      <formula>0</formula>
    </cfRule>
    <cfRule type="expression" dxfId="9789" priority="586">
      <formula>$C19&gt;$E$3</formula>
    </cfRule>
  </conditionalFormatting>
  <conditionalFormatting sqref="K19">
    <cfRule type="expression" dxfId="9788" priority="582">
      <formula>$C19&lt;$E$3</formula>
    </cfRule>
  </conditionalFormatting>
  <conditionalFormatting sqref="K19">
    <cfRule type="expression" dxfId="9787" priority="578">
      <formula>$C19=$E$3</formula>
    </cfRule>
    <cfRule type="expression" dxfId="9786" priority="579">
      <formula>$C19&lt;$E$3</formula>
    </cfRule>
    <cfRule type="cellIs" dxfId="9785" priority="580" operator="equal">
      <formula>0</formula>
    </cfRule>
    <cfRule type="expression" dxfId="9784" priority="581">
      <formula>$C19&gt;$E$3</formula>
    </cfRule>
  </conditionalFormatting>
  <conditionalFormatting sqref="K19">
    <cfRule type="expression" dxfId="9783" priority="577">
      <formula>$E19=""</formula>
    </cfRule>
  </conditionalFormatting>
  <conditionalFormatting sqref="K19">
    <cfRule type="expression" dxfId="9782" priority="576">
      <formula>$C19&lt;$E$3</formula>
    </cfRule>
  </conditionalFormatting>
  <conditionalFormatting sqref="K19">
    <cfRule type="expression" dxfId="9781" priority="575">
      <formula>$E19=""</formula>
    </cfRule>
  </conditionalFormatting>
  <conditionalFormatting sqref="K19">
    <cfRule type="expression" dxfId="9780" priority="574">
      <formula>$E19=""</formula>
    </cfRule>
  </conditionalFormatting>
  <conditionalFormatting sqref="K19">
    <cfRule type="expression" dxfId="9779" priority="573">
      <formula>$C19&lt;$E$3</formula>
    </cfRule>
  </conditionalFormatting>
  <conditionalFormatting sqref="K19">
    <cfRule type="expression" dxfId="9778" priority="572">
      <formula>$E19=""</formula>
    </cfRule>
  </conditionalFormatting>
  <conditionalFormatting sqref="K19">
    <cfRule type="expression" dxfId="9777" priority="571">
      <formula>$C19&lt;$E$3</formula>
    </cfRule>
  </conditionalFormatting>
  <conditionalFormatting sqref="K19">
    <cfRule type="expression" dxfId="9776" priority="570">
      <formula>$E19=""</formula>
    </cfRule>
  </conditionalFormatting>
  <conditionalFormatting sqref="K19">
    <cfRule type="expression" dxfId="9775" priority="569">
      <formula>$C19&lt;$E$3</formula>
    </cfRule>
  </conditionalFormatting>
  <conditionalFormatting sqref="K19">
    <cfRule type="expression" dxfId="9774" priority="568">
      <formula>$E19=""</formula>
    </cfRule>
  </conditionalFormatting>
  <conditionalFormatting sqref="K19">
    <cfRule type="expression" dxfId="9773" priority="567">
      <formula>$C19&lt;$E$3</formula>
    </cfRule>
  </conditionalFormatting>
  <conditionalFormatting sqref="K19">
    <cfRule type="expression" dxfId="9772" priority="563">
      <formula>$C19=$E$3</formula>
    </cfRule>
    <cfRule type="expression" dxfId="9771" priority="564">
      <formula>$C19&lt;$E$3</formula>
    </cfRule>
    <cfRule type="cellIs" dxfId="9770" priority="565" operator="equal">
      <formula>0</formula>
    </cfRule>
    <cfRule type="expression" dxfId="9769" priority="566">
      <formula>$C19&gt;$E$3</formula>
    </cfRule>
  </conditionalFormatting>
  <conditionalFormatting sqref="K19">
    <cfRule type="expression" dxfId="9768" priority="562">
      <formula>$C19&lt;$E$3</formula>
    </cfRule>
  </conditionalFormatting>
  <conditionalFormatting sqref="K19">
    <cfRule type="expression" dxfId="9767" priority="558">
      <formula>$C19=$E$3</formula>
    </cfRule>
    <cfRule type="expression" dxfId="9766" priority="559">
      <formula>$C19&lt;$E$3</formula>
    </cfRule>
    <cfRule type="cellIs" dxfId="9765" priority="560" operator="equal">
      <formula>0</formula>
    </cfRule>
    <cfRule type="expression" dxfId="9764" priority="561">
      <formula>$C19&gt;$E$3</formula>
    </cfRule>
  </conditionalFormatting>
  <conditionalFormatting sqref="K19">
    <cfRule type="expression" dxfId="9763" priority="557">
      <formula>$C19&lt;$E$3</formula>
    </cfRule>
  </conditionalFormatting>
  <conditionalFormatting sqref="K19">
    <cfRule type="expression" dxfId="9762" priority="553">
      <formula>$C19=$E$3</formula>
    </cfRule>
    <cfRule type="expression" dxfId="9761" priority="554">
      <formula>$C19&lt;$E$3</formula>
    </cfRule>
    <cfRule type="cellIs" dxfId="9760" priority="555" operator="equal">
      <formula>0</formula>
    </cfRule>
    <cfRule type="expression" dxfId="9759" priority="556">
      <formula>$C19&gt;$E$3</formula>
    </cfRule>
  </conditionalFormatting>
  <conditionalFormatting sqref="K19">
    <cfRule type="expression" dxfId="9758" priority="552">
      <formula>$C19&lt;$E$3</formula>
    </cfRule>
  </conditionalFormatting>
  <conditionalFormatting sqref="K19">
    <cfRule type="expression" dxfId="9757" priority="548">
      <formula>$C19=$E$3</formula>
    </cfRule>
    <cfRule type="expression" dxfId="9756" priority="549">
      <formula>$C19&lt;$E$3</formula>
    </cfRule>
    <cfRule type="cellIs" dxfId="9755" priority="550" operator="equal">
      <formula>0</formula>
    </cfRule>
    <cfRule type="expression" dxfId="9754" priority="551">
      <formula>$C19&gt;$E$3</formula>
    </cfRule>
  </conditionalFormatting>
  <conditionalFormatting sqref="K19">
    <cfRule type="expression" dxfId="9753" priority="547">
      <formula>$E19=""</formula>
    </cfRule>
  </conditionalFormatting>
  <conditionalFormatting sqref="K19">
    <cfRule type="expression" dxfId="9752" priority="546">
      <formula>$C19&lt;$E$3</formula>
    </cfRule>
  </conditionalFormatting>
  <conditionalFormatting sqref="K19">
    <cfRule type="expression" dxfId="9751" priority="545">
      <formula>$E19=""</formula>
    </cfRule>
  </conditionalFormatting>
  <conditionalFormatting sqref="K19">
    <cfRule type="expression" dxfId="9750" priority="544">
      <formula>$E19=""</formula>
    </cfRule>
  </conditionalFormatting>
  <conditionalFormatting sqref="K19">
    <cfRule type="expression" dxfId="9749" priority="543">
      <formula>$C19&lt;$E$3</formula>
    </cfRule>
  </conditionalFormatting>
  <conditionalFormatting sqref="K19">
    <cfRule type="expression" dxfId="9748" priority="542">
      <formula>$E19=""</formula>
    </cfRule>
  </conditionalFormatting>
  <conditionalFormatting sqref="K19">
    <cfRule type="expression" dxfId="9747" priority="541">
      <formula>$C19&lt;$E$3</formula>
    </cfRule>
  </conditionalFormatting>
  <conditionalFormatting sqref="K19">
    <cfRule type="expression" dxfId="9746" priority="540">
      <formula>$E19=""</formula>
    </cfRule>
  </conditionalFormatting>
  <conditionalFormatting sqref="K19">
    <cfRule type="expression" dxfId="9745" priority="539">
      <formula>$C19&lt;$E$3</formula>
    </cfRule>
  </conditionalFormatting>
  <conditionalFormatting sqref="K19">
    <cfRule type="expression" dxfId="9744" priority="538">
      <formula>$E19=""</formula>
    </cfRule>
  </conditionalFormatting>
  <conditionalFormatting sqref="K14:K18">
    <cfRule type="expression" dxfId="9743" priority="537">
      <formula>$C14&lt;$E$3</formula>
    </cfRule>
  </conditionalFormatting>
  <conditionalFormatting sqref="K14:K18">
    <cfRule type="expression" dxfId="9742" priority="533">
      <formula>$C14=$E$3</formula>
    </cfRule>
    <cfRule type="expression" dxfId="9741" priority="534">
      <formula>$C14&lt;$E$3</formula>
    </cfRule>
    <cfRule type="cellIs" dxfId="9740" priority="535" operator="equal">
      <formula>0</formula>
    </cfRule>
    <cfRule type="expression" dxfId="9739" priority="536">
      <formula>$C14&gt;$E$3</formula>
    </cfRule>
  </conditionalFormatting>
  <conditionalFormatting sqref="K14:K18">
    <cfRule type="expression" dxfId="9738" priority="532">
      <formula>$C14&lt;$E$3</formula>
    </cfRule>
  </conditionalFormatting>
  <conditionalFormatting sqref="K14:K18">
    <cfRule type="expression" dxfId="9737" priority="528">
      <formula>$C14=$E$3</formula>
    </cfRule>
    <cfRule type="expression" dxfId="9736" priority="529">
      <formula>$C14&lt;$E$3</formula>
    </cfRule>
    <cfRule type="cellIs" dxfId="9735" priority="530" operator="equal">
      <formula>0</formula>
    </cfRule>
    <cfRule type="expression" dxfId="9734" priority="531">
      <formula>$C14&gt;$E$3</formula>
    </cfRule>
  </conditionalFormatting>
  <conditionalFormatting sqref="K14:K18">
    <cfRule type="expression" dxfId="9733" priority="527">
      <formula>$C14&lt;$E$3</formula>
    </cfRule>
  </conditionalFormatting>
  <conditionalFormatting sqref="K14:K18">
    <cfRule type="expression" dxfId="9732" priority="523">
      <formula>$C14=$E$3</formula>
    </cfRule>
    <cfRule type="expression" dxfId="9731" priority="524">
      <formula>$C14&lt;$E$3</formula>
    </cfRule>
    <cfRule type="cellIs" dxfId="9730" priority="525" operator="equal">
      <formula>0</formula>
    </cfRule>
    <cfRule type="expression" dxfId="9729" priority="526">
      <formula>$C14&gt;$E$3</formula>
    </cfRule>
  </conditionalFormatting>
  <conditionalFormatting sqref="K14:K18">
    <cfRule type="expression" dxfId="9728" priority="522">
      <formula>$C14&lt;$E$3</formula>
    </cfRule>
  </conditionalFormatting>
  <conditionalFormatting sqref="K14:K18">
    <cfRule type="expression" dxfId="9727" priority="518">
      <formula>$C14=$E$3</formula>
    </cfRule>
    <cfRule type="expression" dxfId="9726" priority="519">
      <formula>$C14&lt;$E$3</formula>
    </cfRule>
    <cfRule type="cellIs" dxfId="9725" priority="520" operator="equal">
      <formula>0</formula>
    </cfRule>
    <cfRule type="expression" dxfId="9724" priority="521">
      <formula>$C14&gt;$E$3</formula>
    </cfRule>
  </conditionalFormatting>
  <conditionalFormatting sqref="K14:K18">
    <cfRule type="expression" dxfId="9723" priority="517">
      <formula>$E14=""</formula>
    </cfRule>
  </conditionalFormatting>
  <conditionalFormatting sqref="K14:K18">
    <cfRule type="expression" dxfId="9722" priority="516">
      <formula>$C14&lt;$E$3</formula>
    </cfRule>
  </conditionalFormatting>
  <conditionalFormatting sqref="K14:K18">
    <cfRule type="expression" dxfId="9721" priority="515">
      <formula>$E14=""</formula>
    </cfRule>
  </conditionalFormatting>
  <conditionalFormatting sqref="K14:K18">
    <cfRule type="expression" dxfId="9720" priority="514">
      <formula>$E14=""</formula>
    </cfRule>
  </conditionalFormatting>
  <conditionalFormatting sqref="K14:K18">
    <cfRule type="expression" dxfId="9719" priority="513">
      <formula>$C14&lt;$E$3</formula>
    </cfRule>
  </conditionalFormatting>
  <conditionalFormatting sqref="K14:K18">
    <cfRule type="expression" dxfId="9718" priority="512">
      <formula>$E14=""</formula>
    </cfRule>
  </conditionalFormatting>
  <conditionalFormatting sqref="K14:K18">
    <cfRule type="expression" dxfId="9717" priority="511">
      <formula>$C14&lt;$E$3</formula>
    </cfRule>
  </conditionalFormatting>
  <conditionalFormatting sqref="K14:K18">
    <cfRule type="expression" dxfId="9716" priority="510">
      <formula>$E14=""</formula>
    </cfRule>
  </conditionalFormatting>
  <conditionalFormatting sqref="K14:K18">
    <cfRule type="expression" dxfId="9715" priority="509">
      <formula>$C14&lt;$E$3</formula>
    </cfRule>
  </conditionalFormatting>
  <conditionalFormatting sqref="K14:K18">
    <cfRule type="expression" dxfId="9714" priority="508">
      <formula>$E14=""</formula>
    </cfRule>
  </conditionalFormatting>
  <conditionalFormatting sqref="K14:K18">
    <cfRule type="expression" dxfId="9713" priority="507">
      <formula>$C14&lt;$E$3</formula>
    </cfRule>
  </conditionalFormatting>
  <conditionalFormatting sqref="K14:K18">
    <cfRule type="expression" dxfId="9712" priority="503">
      <formula>$C14=$E$3</formula>
    </cfRule>
    <cfRule type="expression" dxfId="9711" priority="504">
      <formula>$C14&lt;$E$3</formula>
    </cfRule>
    <cfRule type="cellIs" dxfId="9710" priority="505" operator="equal">
      <formula>0</formula>
    </cfRule>
    <cfRule type="expression" dxfId="9709" priority="506">
      <formula>$C14&gt;$E$3</formula>
    </cfRule>
  </conditionalFormatting>
  <conditionalFormatting sqref="K14:K18">
    <cfRule type="expression" dxfId="9708" priority="502">
      <formula>$C14&lt;$E$3</formula>
    </cfRule>
  </conditionalFormatting>
  <conditionalFormatting sqref="K14:K18">
    <cfRule type="expression" dxfId="9707" priority="498">
      <formula>$C14=$E$3</formula>
    </cfRule>
    <cfRule type="expression" dxfId="9706" priority="499">
      <formula>$C14&lt;$E$3</formula>
    </cfRule>
    <cfRule type="cellIs" dxfId="9705" priority="500" operator="equal">
      <formula>0</formula>
    </cfRule>
    <cfRule type="expression" dxfId="9704" priority="501">
      <formula>$C14&gt;$E$3</formula>
    </cfRule>
  </conditionalFormatting>
  <conditionalFormatting sqref="K14:K18">
    <cfRule type="expression" dxfId="9703" priority="497">
      <formula>$C14&lt;$E$3</formula>
    </cfRule>
  </conditionalFormatting>
  <conditionalFormatting sqref="K14:K18">
    <cfRule type="expression" dxfId="9702" priority="493">
      <formula>$C14=$E$3</formula>
    </cfRule>
    <cfRule type="expression" dxfId="9701" priority="494">
      <formula>$C14&lt;$E$3</formula>
    </cfRule>
    <cfRule type="cellIs" dxfId="9700" priority="495" operator="equal">
      <formula>0</formula>
    </cfRule>
    <cfRule type="expression" dxfId="9699" priority="496">
      <formula>$C14&gt;$E$3</formula>
    </cfRule>
  </conditionalFormatting>
  <conditionalFormatting sqref="K14:K18">
    <cfRule type="expression" dxfId="9698" priority="492">
      <formula>$C14&lt;$E$3</formula>
    </cfRule>
  </conditionalFormatting>
  <conditionalFormatting sqref="K14:K18">
    <cfRule type="expression" dxfId="9697" priority="488">
      <formula>$C14=$E$3</formula>
    </cfRule>
    <cfRule type="expression" dxfId="9696" priority="489">
      <formula>$C14&lt;$E$3</formula>
    </cfRule>
    <cfRule type="cellIs" dxfId="9695" priority="490" operator="equal">
      <formula>0</formula>
    </cfRule>
    <cfRule type="expression" dxfId="9694" priority="491">
      <formula>$C14&gt;$E$3</formula>
    </cfRule>
  </conditionalFormatting>
  <conditionalFormatting sqref="K14:K18">
    <cfRule type="expression" dxfId="9693" priority="487">
      <formula>$E14=""</formula>
    </cfRule>
  </conditionalFormatting>
  <conditionalFormatting sqref="K14:K18">
    <cfRule type="expression" dxfId="9692" priority="486">
      <formula>$C14&lt;$E$3</formula>
    </cfRule>
  </conditionalFormatting>
  <conditionalFormatting sqref="K14:K18">
    <cfRule type="expression" dxfId="9691" priority="485">
      <formula>$E14=""</formula>
    </cfRule>
  </conditionalFormatting>
  <conditionalFormatting sqref="K14:K18">
    <cfRule type="expression" dxfId="9690" priority="484">
      <formula>$E14=""</formula>
    </cfRule>
  </conditionalFormatting>
  <conditionalFormatting sqref="K14:K18">
    <cfRule type="expression" dxfId="9689" priority="483">
      <formula>$C14&lt;$E$3</formula>
    </cfRule>
  </conditionalFormatting>
  <conditionalFormatting sqref="K14:K18">
    <cfRule type="expression" dxfId="9688" priority="482">
      <formula>$E14=""</formula>
    </cfRule>
  </conditionalFormatting>
  <conditionalFormatting sqref="K14:K18">
    <cfRule type="expression" dxfId="9687" priority="481">
      <formula>$C14&lt;$E$3</formula>
    </cfRule>
  </conditionalFormatting>
  <conditionalFormatting sqref="K14:K18">
    <cfRule type="expression" dxfId="9686" priority="480">
      <formula>$E14=""</formula>
    </cfRule>
  </conditionalFormatting>
  <conditionalFormatting sqref="K14:K18">
    <cfRule type="expression" dxfId="9685" priority="479">
      <formula>$C14&lt;$E$3</formula>
    </cfRule>
  </conditionalFormatting>
  <conditionalFormatting sqref="K14:K18">
    <cfRule type="expression" dxfId="9684" priority="478">
      <formula>$E14=""</formula>
    </cfRule>
  </conditionalFormatting>
  <conditionalFormatting sqref="K14:K20">
    <cfRule type="expression" dxfId="9683" priority="476">
      <formula>$C14&lt;$E$3</formula>
    </cfRule>
  </conditionalFormatting>
  <conditionalFormatting sqref="K14:K20">
    <cfRule type="expression" dxfId="9682" priority="473">
      <formula>$C14=$E$3</formula>
    </cfRule>
    <cfRule type="expression" dxfId="9681" priority="474">
      <formula>$C14&lt;$E$3</formula>
    </cfRule>
    <cfRule type="cellIs" dxfId="9680" priority="475" operator="equal">
      <formula>0</formula>
    </cfRule>
    <cfRule type="expression" dxfId="9679" priority="477">
      <formula>$C14&gt;$E$3</formula>
    </cfRule>
  </conditionalFormatting>
  <conditionalFormatting sqref="K14:K20">
    <cfRule type="expression" dxfId="9678" priority="472">
      <formula>$E14=""</formula>
    </cfRule>
  </conditionalFormatting>
  <conditionalFormatting sqref="K14:K20">
    <cfRule type="expression" dxfId="9677" priority="471">
      <formula>$E14=""</formula>
    </cfRule>
  </conditionalFormatting>
  <conditionalFormatting sqref="K14:K20">
    <cfRule type="expression" dxfId="9676" priority="470">
      <formula>$E14=""</formula>
    </cfRule>
  </conditionalFormatting>
  <conditionalFormatting sqref="K28">
    <cfRule type="expression" dxfId="9675" priority="469">
      <formula>$C28&lt;$E$3</formula>
    </cfRule>
  </conditionalFormatting>
  <conditionalFormatting sqref="K28">
    <cfRule type="expression" dxfId="9674" priority="465">
      <formula>$C28=$E$3</formula>
    </cfRule>
    <cfRule type="expression" dxfId="9673" priority="466">
      <formula>$C28&lt;$E$3</formula>
    </cfRule>
    <cfRule type="cellIs" dxfId="9672" priority="467" operator="equal">
      <formula>0</formula>
    </cfRule>
    <cfRule type="expression" dxfId="9671" priority="468">
      <formula>$C28&gt;$E$3</formula>
    </cfRule>
  </conditionalFormatting>
  <conditionalFormatting sqref="K28">
    <cfRule type="expression" dxfId="9670" priority="464">
      <formula>$C28&lt;$E$3</formula>
    </cfRule>
  </conditionalFormatting>
  <conditionalFormatting sqref="K28">
    <cfRule type="expression" dxfId="9669" priority="460">
      <formula>$C28=$E$3</formula>
    </cfRule>
    <cfRule type="expression" dxfId="9668" priority="461">
      <formula>$C28&lt;$E$3</formula>
    </cfRule>
    <cfRule type="cellIs" dxfId="9667" priority="462" operator="equal">
      <formula>0</formula>
    </cfRule>
    <cfRule type="expression" dxfId="9666" priority="463">
      <formula>$C28&gt;$E$3</formula>
    </cfRule>
  </conditionalFormatting>
  <conditionalFormatting sqref="K28">
    <cfRule type="expression" dxfId="9665" priority="459">
      <formula>$C28&lt;$E$3</formula>
    </cfRule>
  </conditionalFormatting>
  <conditionalFormatting sqref="K28">
    <cfRule type="expression" dxfId="9664" priority="455">
      <formula>$C28=$E$3</formula>
    </cfRule>
    <cfRule type="expression" dxfId="9663" priority="456">
      <formula>$C28&lt;$E$3</formula>
    </cfRule>
    <cfRule type="cellIs" dxfId="9662" priority="457" operator="equal">
      <formula>0</formula>
    </cfRule>
    <cfRule type="expression" dxfId="9661" priority="458">
      <formula>$C28&gt;$E$3</formula>
    </cfRule>
  </conditionalFormatting>
  <conditionalFormatting sqref="K28">
    <cfRule type="expression" dxfId="9660" priority="454">
      <formula>$C28&lt;$E$3</formula>
    </cfRule>
  </conditionalFormatting>
  <conditionalFormatting sqref="K28">
    <cfRule type="expression" dxfId="9659" priority="450">
      <formula>$C28=$E$3</formula>
    </cfRule>
    <cfRule type="expression" dxfId="9658" priority="451">
      <formula>$C28&lt;$E$3</formula>
    </cfRule>
    <cfRule type="cellIs" dxfId="9657" priority="452" operator="equal">
      <formula>0</formula>
    </cfRule>
    <cfRule type="expression" dxfId="9656" priority="453">
      <formula>$C28&gt;$E$3</formula>
    </cfRule>
  </conditionalFormatting>
  <conditionalFormatting sqref="K28">
    <cfRule type="expression" dxfId="9655" priority="449">
      <formula>$E28=""</formula>
    </cfRule>
  </conditionalFormatting>
  <conditionalFormatting sqref="K28">
    <cfRule type="expression" dxfId="9654" priority="448">
      <formula>$C28&lt;$E$3</formula>
    </cfRule>
  </conditionalFormatting>
  <conditionalFormatting sqref="K28">
    <cfRule type="expression" dxfId="9653" priority="447">
      <formula>$E28=""</formula>
    </cfRule>
  </conditionalFormatting>
  <conditionalFormatting sqref="K28">
    <cfRule type="expression" dxfId="9652" priority="446">
      <formula>$E28=""</formula>
    </cfRule>
  </conditionalFormatting>
  <conditionalFormatting sqref="K28">
    <cfRule type="expression" dxfId="9651" priority="445">
      <formula>$C28&lt;$E$3</formula>
    </cfRule>
  </conditionalFormatting>
  <conditionalFormatting sqref="K28">
    <cfRule type="expression" dxfId="9650" priority="444">
      <formula>$E28=""</formula>
    </cfRule>
  </conditionalFormatting>
  <conditionalFormatting sqref="K28">
    <cfRule type="expression" dxfId="9649" priority="443">
      <formula>$C28&lt;$E$3</formula>
    </cfRule>
  </conditionalFormatting>
  <conditionalFormatting sqref="K28">
    <cfRule type="expression" dxfId="9648" priority="442">
      <formula>$E28=""</formula>
    </cfRule>
  </conditionalFormatting>
  <conditionalFormatting sqref="K28">
    <cfRule type="expression" dxfId="9647" priority="441">
      <formula>$C28&lt;$E$3</formula>
    </cfRule>
  </conditionalFormatting>
  <conditionalFormatting sqref="K28">
    <cfRule type="expression" dxfId="9646" priority="440">
      <formula>$E28=""</formula>
    </cfRule>
  </conditionalFormatting>
  <conditionalFormatting sqref="K28">
    <cfRule type="expression" dxfId="9645" priority="439">
      <formula>$C28&lt;$E$3</formula>
    </cfRule>
  </conditionalFormatting>
  <conditionalFormatting sqref="K28">
    <cfRule type="expression" dxfId="9644" priority="435">
      <formula>$C28=$E$3</formula>
    </cfRule>
    <cfRule type="expression" dxfId="9643" priority="436">
      <formula>$C28&lt;$E$3</formula>
    </cfRule>
    <cfRule type="cellIs" dxfId="9642" priority="437" operator="equal">
      <formula>0</formula>
    </cfRule>
    <cfRule type="expression" dxfId="9641" priority="438">
      <formula>$C28&gt;$E$3</formula>
    </cfRule>
  </conditionalFormatting>
  <conditionalFormatting sqref="K28">
    <cfRule type="expression" dxfId="9640" priority="434">
      <formula>$C28&lt;$E$3</formula>
    </cfRule>
  </conditionalFormatting>
  <conditionalFormatting sqref="K28">
    <cfRule type="expression" dxfId="9639" priority="430">
      <formula>$C28=$E$3</formula>
    </cfRule>
    <cfRule type="expression" dxfId="9638" priority="431">
      <formula>$C28&lt;$E$3</formula>
    </cfRule>
    <cfRule type="cellIs" dxfId="9637" priority="432" operator="equal">
      <formula>0</formula>
    </cfRule>
    <cfRule type="expression" dxfId="9636" priority="433">
      <formula>$C28&gt;$E$3</formula>
    </cfRule>
  </conditionalFormatting>
  <conditionalFormatting sqref="K28">
    <cfRule type="expression" dxfId="9635" priority="429">
      <formula>$C28&lt;$E$3</formula>
    </cfRule>
  </conditionalFormatting>
  <conditionalFormatting sqref="K28">
    <cfRule type="expression" dxfId="9634" priority="425">
      <formula>$C28=$E$3</formula>
    </cfRule>
    <cfRule type="expression" dxfId="9633" priority="426">
      <formula>$C28&lt;$E$3</formula>
    </cfRule>
    <cfRule type="cellIs" dxfId="9632" priority="427" operator="equal">
      <formula>0</formula>
    </cfRule>
    <cfRule type="expression" dxfId="9631" priority="428">
      <formula>$C28&gt;$E$3</formula>
    </cfRule>
  </conditionalFormatting>
  <conditionalFormatting sqref="K28">
    <cfRule type="expression" dxfId="9630" priority="424">
      <formula>$C28&lt;$E$3</formula>
    </cfRule>
  </conditionalFormatting>
  <conditionalFormatting sqref="K28">
    <cfRule type="expression" dxfId="9629" priority="420">
      <formula>$C28=$E$3</formula>
    </cfRule>
    <cfRule type="expression" dxfId="9628" priority="421">
      <formula>$C28&lt;$E$3</formula>
    </cfRule>
    <cfRule type="cellIs" dxfId="9627" priority="422" operator="equal">
      <formula>0</formula>
    </cfRule>
    <cfRule type="expression" dxfId="9626" priority="423">
      <formula>$C28&gt;$E$3</formula>
    </cfRule>
  </conditionalFormatting>
  <conditionalFormatting sqref="K28">
    <cfRule type="expression" dxfId="9625" priority="419">
      <formula>$E28=""</formula>
    </cfRule>
  </conditionalFormatting>
  <conditionalFormatting sqref="K28">
    <cfRule type="expression" dxfId="9624" priority="418">
      <formula>$C28&lt;$E$3</formula>
    </cfRule>
  </conditionalFormatting>
  <conditionalFormatting sqref="K28">
    <cfRule type="expression" dxfId="9623" priority="417">
      <formula>$E28=""</formula>
    </cfRule>
  </conditionalFormatting>
  <conditionalFormatting sqref="K28">
    <cfRule type="expression" dxfId="9622" priority="416">
      <formula>$E28=""</formula>
    </cfRule>
  </conditionalFormatting>
  <conditionalFormatting sqref="K28">
    <cfRule type="expression" dxfId="9621" priority="415">
      <formula>$C28&lt;$E$3</formula>
    </cfRule>
  </conditionalFormatting>
  <conditionalFormatting sqref="K28">
    <cfRule type="expression" dxfId="9620" priority="414">
      <formula>$E28=""</formula>
    </cfRule>
  </conditionalFormatting>
  <conditionalFormatting sqref="K28">
    <cfRule type="expression" dxfId="9619" priority="413">
      <formula>$C28&lt;$E$3</formula>
    </cfRule>
  </conditionalFormatting>
  <conditionalFormatting sqref="K28">
    <cfRule type="expression" dxfId="9618" priority="412">
      <formula>$E28=""</formula>
    </cfRule>
  </conditionalFormatting>
  <conditionalFormatting sqref="K28">
    <cfRule type="expression" dxfId="9617" priority="411">
      <formula>$C28&lt;$E$3</formula>
    </cfRule>
  </conditionalFormatting>
  <conditionalFormatting sqref="K28">
    <cfRule type="expression" dxfId="9616" priority="410">
      <formula>$E28=""</formula>
    </cfRule>
  </conditionalFormatting>
  <conditionalFormatting sqref="K23:K27">
    <cfRule type="expression" dxfId="9615" priority="409">
      <formula>$C23&lt;$E$3</formula>
    </cfRule>
  </conditionalFormatting>
  <conditionalFormatting sqref="K23:K27">
    <cfRule type="expression" dxfId="9614" priority="405">
      <formula>$C23=$E$3</formula>
    </cfRule>
    <cfRule type="expression" dxfId="9613" priority="406">
      <formula>$C23&lt;$E$3</formula>
    </cfRule>
    <cfRule type="cellIs" dxfId="9612" priority="407" operator="equal">
      <formula>0</formula>
    </cfRule>
    <cfRule type="expression" dxfId="9611" priority="408">
      <formula>$C23&gt;$E$3</formula>
    </cfRule>
  </conditionalFormatting>
  <conditionalFormatting sqref="K23:K27">
    <cfRule type="expression" dxfId="9610" priority="404">
      <formula>$C23&lt;$E$3</formula>
    </cfRule>
  </conditionalFormatting>
  <conditionalFormatting sqref="K23:K27">
    <cfRule type="expression" dxfId="9609" priority="400">
      <formula>$C23=$E$3</formula>
    </cfRule>
    <cfRule type="expression" dxfId="9608" priority="401">
      <formula>$C23&lt;$E$3</formula>
    </cfRule>
    <cfRule type="cellIs" dxfId="9607" priority="402" operator="equal">
      <formula>0</formula>
    </cfRule>
    <cfRule type="expression" dxfId="9606" priority="403">
      <formula>$C23&gt;$E$3</formula>
    </cfRule>
  </conditionalFormatting>
  <conditionalFormatting sqref="K23:K27">
    <cfRule type="expression" dxfId="9605" priority="399">
      <formula>$C23&lt;$E$3</formula>
    </cfRule>
  </conditionalFormatting>
  <conditionalFormatting sqref="K23:K27">
    <cfRule type="expression" dxfId="9604" priority="395">
      <formula>$C23=$E$3</formula>
    </cfRule>
    <cfRule type="expression" dxfId="9603" priority="396">
      <formula>$C23&lt;$E$3</formula>
    </cfRule>
    <cfRule type="cellIs" dxfId="9602" priority="397" operator="equal">
      <formula>0</formula>
    </cfRule>
    <cfRule type="expression" dxfId="9601" priority="398">
      <formula>$C23&gt;$E$3</formula>
    </cfRule>
  </conditionalFormatting>
  <conditionalFormatting sqref="K23:K27">
    <cfRule type="expression" dxfId="9600" priority="394">
      <formula>$C23&lt;$E$3</formula>
    </cfRule>
  </conditionalFormatting>
  <conditionalFormatting sqref="K23:K27">
    <cfRule type="expression" dxfId="9599" priority="390">
      <formula>$C23=$E$3</formula>
    </cfRule>
    <cfRule type="expression" dxfId="9598" priority="391">
      <formula>$C23&lt;$E$3</formula>
    </cfRule>
    <cfRule type="cellIs" dxfId="9597" priority="392" operator="equal">
      <formula>0</formula>
    </cfRule>
    <cfRule type="expression" dxfId="9596" priority="393">
      <formula>$C23&gt;$E$3</formula>
    </cfRule>
  </conditionalFormatting>
  <conditionalFormatting sqref="K23:K27">
    <cfRule type="expression" dxfId="9595" priority="389">
      <formula>$E23=""</formula>
    </cfRule>
  </conditionalFormatting>
  <conditionalFormatting sqref="K23:K27">
    <cfRule type="expression" dxfId="9594" priority="388">
      <formula>$C23&lt;$E$3</formula>
    </cfRule>
  </conditionalFormatting>
  <conditionalFormatting sqref="K23:K27">
    <cfRule type="expression" dxfId="9593" priority="387">
      <formula>$E23=""</formula>
    </cfRule>
  </conditionalFormatting>
  <conditionalFormatting sqref="K23:K27">
    <cfRule type="expression" dxfId="9592" priority="386">
      <formula>$E23=""</formula>
    </cfRule>
  </conditionalFormatting>
  <conditionalFormatting sqref="K23:K27">
    <cfRule type="expression" dxfId="9591" priority="385">
      <formula>$C23&lt;$E$3</formula>
    </cfRule>
  </conditionalFormatting>
  <conditionalFormatting sqref="K23:K27">
    <cfRule type="expression" dxfId="9590" priority="384">
      <formula>$E23=""</formula>
    </cfRule>
  </conditionalFormatting>
  <conditionalFormatting sqref="K23:K27">
    <cfRule type="expression" dxfId="9589" priority="383">
      <formula>$C23&lt;$E$3</formula>
    </cfRule>
  </conditionalFormatting>
  <conditionalFormatting sqref="K23:K27">
    <cfRule type="expression" dxfId="9588" priority="382">
      <formula>$E23=""</formula>
    </cfRule>
  </conditionalFormatting>
  <conditionalFormatting sqref="K23:K27">
    <cfRule type="expression" dxfId="9587" priority="381">
      <formula>$C23&lt;$E$3</formula>
    </cfRule>
  </conditionalFormatting>
  <conditionalFormatting sqref="K23:K27">
    <cfRule type="expression" dxfId="9586" priority="380">
      <formula>$E23=""</formula>
    </cfRule>
  </conditionalFormatting>
  <conditionalFormatting sqref="K23:K27">
    <cfRule type="expression" dxfId="9585" priority="379">
      <formula>$C23&lt;$E$3</formula>
    </cfRule>
  </conditionalFormatting>
  <conditionalFormatting sqref="K23:K27">
    <cfRule type="expression" dxfId="9584" priority="375">
      <formula>$C23=$E$3</formula>
    </cfRule>
    <cfRule type="expression" dxfId="9583" priority="376">
      <formula>$C23&lt;$E$3</formula>
    </cfRule>
    <cfRule type="cellIs" dxfId="9582" priority="377" operator="equal">
      <formula>0</formula>
    </cfRule>
    <cfRule type="expression" dxfId="9581" priority="378">
      <formula>$C23&gt;$E$3</formula>
    </cfRule>
  </conditionalFormatting>
  <conditionalFormatting sqref="K23:K27">
    <cfRule type="expression" dxfId="9580" priority="374">
      <formula>$C23&lt;$E$3</formula>
    </cfRule>
  </conditionalFormatting>
  <conditionalFormatting sqref="K23:K27">
    <cfRule type="expression" dxfId="9579" priority="370">
      <formula>$C23=$E$3</formula>
    </cfRule>
    <cfRule type="expression" dxfId="9578" priority="371">
      <formula>$C23&lt;$E$3</formula>
    </cfRule>
    <cfRule type="cellIs" dxfId="9577" priority="372" operator="equal">
      <formula>0</formula>
    </cfRule>
    <cfRule type="expression" dxfId="9576" priority="373">
      <formula>$C23&gt;$E$3</formula>
    </cfRule>
  </conditionalFormatting>
  <conditionalFormatting sqref="K23:K27">
    <cfRule type="expression" dxfId="9575" priority="369">
      <formula>$C23&lt;$E$3</formula>
    </cfRule>
  </conditionalFormatting>
  <conditionalFormatting sqref="K23:K27">
    <cfRule type="expression" dxfId="9574" priority="365">
      <formula>$C23=$E$3</formula>
    </cfRule>
    <cfRule type="expression" dxfId="9573" priority="366">
      <formula>$C23&lt;$E$3</formula>
    </cfRule>
    <cfRule type="cellIs" dxfId="9572" priority="367" operator="equal">
      <formula>0</formula>
    </cfRule>
    <cfRule type="expression" dxfId="9571" priority="368">
      <formula>$C23&gt;$E$3</formula>
    </cfRule>
  </conditionalFormatting>
  <conditionalFormatting sqref="K23:K27">
    <cfRule type="expression" dxfId="9570" priority="364">
      <formula>$C23&lt;$E$3</formula>
    </cfRule>
  </conditionalFormatting>
  <conditionalFormatting sqref="K23:K27">
    <cfRule type="expression" dxfId="9569" priority="360">
      <formula>$C23=$E$3</formula>
    </cfRule>
    <cfRule type="expression" dxfId="9568" priority="361">
      <formula>$C23&lt;$E$3</formula>
    </cfRule>
    <cfRule type="cellIs" dxfId="9567" priority="362" operator="equal">
      <formula>0</formula>
    </cfRule>
    <cfRule type="expression" dxfId="9566" priority="363">
      <formula>$C23&gt;$E$3</formula>
    </cfRule>
  </conditionalFormatting>
  <conditionalFormatting sqref="K23:K27">
    <cfRule type="expression" dxfId="9565" priority="359">
      <formula>$E23=""</formula>
    </cfRule>
  </conditionalFormatting>
  <conditionalFormatting sqref="K23:K27">
    <cfRule type="expression" dxfId="9564" priority="358">
      <formula>$C23&lt;$E$3</formula>
    </cfRule>
  </conditionalFormatting>
  <conditionalFormatting sqref="K23:K27">
    <cfRule type="expression" dxfId="9563" priority="357">
      <formula>$E23=""</formula>
    </cfRule>
  </conditionalFormatting>
  <conditionalFormatting sqref="K23:K27">
    <cfRule type="expression" dxfId="9562" priority="356">
      <formula>$E23=""</formula>
    </cfRule>
  </conditionalFormatting>
  <conditionalFormatting sqref="K23:K27">
    <cfRule type="expression" dxfId="9561" priority="355">
      <formula>$C23&lt;$E$3</formula>
    </cfRule>
  </conditionalFormatting>
  <conditionalFormatting sqref="K23:K27">
    <cfRule type="expression" dxfId="9560" priority="354">
      <formula>$E23=""</formula>
    </cfRule>
  </conditionalFormatting>
  <conditionalFormatting sqref="K23:K27">
    <cfRule type="expression" dxfId="9559" priority="353">
      <formula>$C23&lt;$E$3</formula>
    </cfRule>
  </conditionalFormatting>
  <conditionalFormatting sqref="K23:K27">
    <cfRule type="expression" dxfId="9558" priority="352">
      <formula>$E23=""</formula>
    </cfRule>
  </conditionalFormatting>
  <conditionalFormatting sqref="K23:K27">
    <cfRule type="expression" dxfId="9557" priority="351">
      <formula>$C23&lt;$E$3</formula>
    </cfRule>
  </conditionalFormatting>
  <conditionalFormatting sqref="K23:K27">
    <cfRule type="expression" dxfId="9556" priority="350">
      <formula>$E23=""</formula>
    </cfRule>
  </conditionalFormatting>
  <conditionalFormatting sqref="K23:K29">
    <cfRule type="expression" dxfId="9555" priority="348">
      <formula>$C23&lt;$E$3</formula>
    </cfRule>
  </conditionalFormatting>
  <conditionalFormatting sqref="K23:K29">
    <cfRule type="expression" dxfId="9554" priority="345">
      <formula>$C23=$E$3</formula>
    </cfRule>
    <cfRule type="expression" dxfId="9553" priority="346">
      <formula>$C23&lt;$E$3</formula>
    </cfRule>
    <cfRule type="cellIs" dxfId="9552" priority="347" operator="equal">
      <formula>0</formula>
    </cfRule>
    <cfRule type="expression" dxfId="9551" priority="349">
      <formula>$C23&gt;$E$3</formula>
    </cfRule>
  </conditionalFormatting>
  <conditionalFormatting sqref="K23:K29">
    <cfRule type="expression" dxfId="9550" priority="344">
      <formula>$E23=""</formula>
    </cfRule>
  </conditionalFormatting>
  <conditionalFormatting sqref="K23:K29">
    <cfRule type="expression" dxfId="9549" priority="343">
      <formula>$E23=""</formula>
    </cfRule>
  </conditionalFormatting>
  <conditionalFormatting sqref="K23:K29">
    <cfRule type="expression" dxfId="9548" priority="342">
      <formula>$E23=""</formula>
    </cfRule>
  </conditionalFormatting>
  <conditionalFormatting sqref="K37">
    <cfRule type="expression" dxfId="9547" priority="341">
      <formula>$C37&lt;$E$3</formula>
    </cfRule>
  </conditionalFormatting>
  <conditionalFormatting sqref="K37">
    <cfRule type="expression" dxfId="9546" priority="337">
      <formula>$C37=$E$3</formula>
    </cfRule>
    <cfRule type="expression" dxfId="9545" priority="338">
      <formula>$C37&lt;$E$3</formula>
    </cfRule>
    <cfRule type="cellIs" dxfId="9544" priority="339" operator="equal">
      <formula>0</formula>
    </cfRule>
    <cfRule type="expression" dxfId="9543" priority="340">
      <formula>$C37&gt;$E$3</formula>
    </cfRule>
  </conditionalFormatting>
  <conditionalFormatting sqref="K37">
    <cfRule type="expression" dxfId="9542" priority="336">
      <formula>$C37&lt;$E$3</formula>
    </cfRule>
  </conditionalFormatting>
  <conditionalFormatting sqref="K37">
    <cfRule type="expression" dxfId="9541" priority="332">
      <formula>$C37=$E$3</formula>
    </cfRule>
    <cfRule type="expression" dxfId="9540" priority="333">
      <formula>$C37&lt;$E$3</formula>
    </cfRule>
    <cfRule type="cellIs" dxfId="9539" priority="334" operator="equal">
      <formula>0</formula>
    </cfRule>
    <cfRule type="expression" dxfId="9538" priority="335">
      <formula>$C37&gt;$E$3</formula>
    </cfRule>
  </conditionalFormatting>
  <conditionalFormatting sqref="K37">
    <cfRule type="expression" dxfId="9537" priority="331">
      <formula>$C37&lt;$E$3</formula>
    </cfRule>
  </conditionalFormatting>
  <conditionalFormatting sqref="K37">
    <cfRule type="expression" dxfId="9536" priority="327">
      <formula>$C37=$E$3</formula>
    </cfRule>
    <cfRule type="expression" dxfId="9535" priority="328">
      <formula>$C37&lt;$E$3</formula>
    </cfRule>
    <cfRule type="cellIs" dxfId="9534" priority="329" operator="equal">
      <formula>0</formula>
    </cfRule>
    <cfRule type="expression" dxfId="9533" priority="330">
      <formula>$C37&gt;$E$3</formula>
    </cfRule>
  </conditionalFormatting>
  <conditionalFormatting sqref="K37">
    <cfRule type="expression" dxfId="9532" priority="326">
      <formula>$C37&lt;$E$3</formula>
    </cfRule>
  </conditionalFormatting>
  <conditionalFormatting sqref="K37">
    <cfRule type="expression" dxfId="9531" priority="322">
      <formula>$C37=$E$3</formula>
    </cfRule>
    <cfRule type="expression" dxfId="9530" priority="323">
      <formula>$C37&lt;$E$3</formula>
    </cfRule>
    <cfRule type="cellIs" dxfId="9529" priority="324" operator="equal">
      <formula>0</formula>
    </cfRule>
    <cfRule type="expression" dxfId="9528" priority="325">
      <formula>$C37&gt;$E$3</formula>
    </cfRule>
  </conditionalFormatting>
  <conditionalFormatting sqref="K37">
    <cfRule type="expression" dxfId="9527" priority="321">
      <formula>$E37=""</formula>
    </cfRule>
  </conditionalFormatting>
  <conditionalFormatting sqref="K37">
    <cfRule type="expression" dxfId="9526" priority="320">
      <formula>$C37&lt;$E$3</formula>
    </cfRule>
  </conditionalFormatting>
  <conditionalFormatting sqref="K37">
    <cfRule type="expression" dxfId="9525" priority="319">
      <formula>$E37=""</formula>
    </cfRule>
  </conditionalFormatting>
  <conditionalFormatting sqref="K37">
    <cfRule type="expression" dxfId="9524" priority="318">
      <formula>$E37=""</formula>
    </cfRule>
  </conditionalFormatting>
  <conditionalFormatting sqref="K37">
    <cfRule type="expression" dxfId="9523" priority="317">
      <formula>$C37&lt;$E$3</formula>
    </cfRule>
  </conditionalFormatting>
  <conditionalFormatting sqref="K37">
    <cfRule type="expression" dxfId="9522" priority="316">
      <formula>$E37=""</formula>
    </cfRule>
  </conditionalFormatting>
  <conditionalFormatting sqref="K37">
    <cfRule type="expression" dxfId="9521" priority="315">
      <formula>$C37&lt;$E$3</formula>
    </cfRule>
  </conditionalFormatting>
  <conditionalFormatting sqref="K37">
    <cfRule type="expression" dxfId="9520" priority="314">
      <formula>$E37=""</formula>
    </cfRule>
  </conditionalFormatting>
  <conditionalFormatting sqref="K37">
    <cfRule type="expression" dxfId="9519" priority="313">
      <formula>$C37&lt;$E$3</formula>
    </cfRule>
  </conditionalFormatting>
  <conditionalFormatting sqref="K37">
    <cfRule type="expression" dxfId="9518" priority="312">
      <formula>$E37=""</formula>
    </cfRule>
  </conditionalFormatting>
  <conditionalFormatting sqref="K37">
    <cfRule type="expression" dxfId="9517" priority="311">
      <formula>$C37&lt;$E$3</formula>
    </cfRule>
  </conditionalFormatting>
  <conditionalFormatting sqref="K37">
    <cfRule type="expression" dxfId="9516" priority="307">
      <formula>$C37=$E$3</formula>
    </cfRule>
    <cfRule type="expression" dxfId="9515" priority="308">
      <formula>$C37&lt;$E$3</formula>
    </cfRule>
    <cfRule type="cellIs" dxfId="9514" priority="309" operator="equal">
      <formula>0</formula>
    </cfRule>
    <cfRule type="expression" dxfId="9513" priority="310">
      <formula>$C37&gt;$E$3</formula>
    </cfRule>
  </conditionalFormatting>
  <conditionalFormatting sqref="K37">
    <cfRule type="expression" dxfId="9512" priority="306">
      <formula>$C37&lt;$E$3</formula>
    </cfRule>
  </conditionalFormatting>
  <conditionalFormatting sqref="K37">
    <cfRule type="expression" dxfId="9511" priority="302">
      <formula>$C37=$E$3</formula>
    </cfRule>
    <cfRule type="expression" dxfId="9510" priority="303">
      <formula>$C37&lt;$E$3</formula>
    </cfRule>
    <cfRule type="cellIs" dxfId="9509" priority="304" operator="equal">
      <formula>0</formula>
    </cfRule>
    <cfRule type="expression" dxfId="9508" priority="305">
      <formula>$C37&gt;$E$3</formula>
    </cfRule>
  </conditionalFormatting>
  <conditionalFormatting sqref="K37">
    <cfRule type="expression" dxfId="9507" priority="301">
      <formula>$C37&lt;$E$3</formula>
    </cfRule>
  </conditionalFormatting>
  <conditionalFormatting sqref="K37">
    <cfRule type="expression" dxfId="9506" priority="297">
      <formula>$C37=$E$3</formula>
    </cfRule>
    <cfRule type="expression" dxfId="9505" priority="298">
      <formula>$C37&lt;$E$3</formula>
    </cfRule>
    <cfRule type="cellIs" dxfId="9504" priority="299" operator="equal">
      <formula>0</formula>
    </cfRule>
    <cfRule type="expression" dxfId="9503" priority="300">
      <formula>$C37&gt;$E$3</formula>
    </cfRule>
  </conditionalFormatting>
  <conditionalFormatting sqref="K37">
    <cfRule type="expression" dxfId="9502" priority="296">
      <formula>$C37&lt;$E$3</formula>
    </cfRule>
  </conditionalFormatting>
  <conditionalFormatting sqref="K37">
    <cfRule type="expression" dxfId="9501" priority="292">
      <formula>$C37=$E$3</formula>
    </cfRule>
    <cfRule type="expression" dxfId="9500" priority="293">
      <formula>$C37&lt;$E$3</formula>
    </cfRule>
    <cfRule type="cellIs" dxfId="9499" priority="294" operator="equal">
      <formula>0</formula>
    </cfRule>
    <cfRule type="expression" dxfId="9498" priority="295">
      <formula>$C37&gt;$E$3</formula>
    </cfRule>
  </conditionalFormatting>
  <conditionalFormatting sqref="K37">
    <cfRule type="expression" dxfId="9497" priority="291">
      <formula>$E37=""</formula>
    </cfRule>
  </conditionalFormatting>
  <conditionalFormatting sqref="K37">
    <cfRule type="expression" dxfId="9496" priority="290">
      <formula>$C37&lt;$E$3</formula>
    </cfRule>
  </conditionalFormatting>
  <conditionalFormatting sqref="K37">
    <cfRule type="expression" dxfId="9495" priority="289">
      <formula>$E37=""</formula>
    </cfRule>
  </conditionalFormatting>
  <conditionalFormatting sqref="K37">
    <cfRule type="expression" dxfId="9494" priority="288">
      <formula>$E37=""</formula>
    </cfRule>
  </conditionalFormatting>
  <conditionalFormatting sqref="K37">
    <cfRule type="expression" dxfId="9493" priority="287">
      <formula>$C37&lt;$E$3</formula>
    </cfRule>
  </conditionalFormatting>
  <conditionalFormatting sqref="K37">
    <cfRule type="expression" dxfId="9492" priority="286">
      <formula>$E37=""</formula>
    </cfRule>
  </conditionalFormatting>
  <conditionalFormatting sqref="K37">
    <cfRule type="expression" dxfId="9491" priority="285">
      <formula>$C37&lt;$E$3</formula>
    </cfRule>
  </conditionalFormatting>
  <conditionalFormatting sqref="K37">
    <cfRule type="expression" dxfId="9490" priority="284">
      <formula>$E37=""</formula>
    </cfRule>
  </conditionalFormatting>
  <conditionalFormatting sqref="K37">
    <cfRule type="expression" dxfId="9489" priority="283">
      <formula>$C37&lt;$E$3</formula>
    </cfRule>
  </conditionalFormatting>
  <conditionalFormatting sqref="K37">
    <cfRule type="expression" dxfId="9488" priority="282">
      <formula>$E37=""</formula>
    </cfRule>
  </conditionalFormatting>
  <conditionalFormatting sqref="K32:K36">
    <cfRule type="expression" dxfId="9487" priority="281">
      <formula>$C32&lt;$E$3</formula>
    </cfRule>
  </conditionalFormatting>
  <conditionalFormatting sqref="K32:K36">
    <cfRule type="expression" dxfId="9486" priority="277">
      <formula>$C32=$E$3</formula>
    </cfRule>
    <cfRule type="expression" dxfId="9485" priority="278">
      <formula>$C32&lt;$E$3</formula>
    </cfRule>
    <cfRule type="cellIs" dxfId="9484" priority="279" operator="equal">
      <formula>0</formula>
    </cfRule>
    <cfRule type="expression" dxfId="9483" priority="280">
      <formula>$C32&gt;$E$3</formula>
    </cfRule>
  </conditionalFormatting>
  <conditionalFormatting sqref="K32:K36">
    <cfRule type="expression" dxfId="9482" priority="276">
      <formula>$C32&lt;$E$3</formula>
    </cfRule>
  </conditionalFormatting>
  <conditionalFormatting sqref="K32:K36">
    <cfRule type="expression" dxfId="9481" priority="272">
      <formula>$C32=$E$3</formula>
    </cfRule>
    <cfRule type="expression" dxfId="9480" priority="273">
      <formula>$C32&lt;$E$3</formula>
    </cfRule>
    <cfRule type="cellIs" dxfId="9479" priority="274" operator="equal">
      <formula>0</formula>
    </cfRule>
    <cfRule type="expression" dxfId="9478" priority="275">
      <formula>$C32&gt;$E$3</formula>
    </cfRule>
  </conditionalFormatting>
  <conditionalFormatting sqref="K32:K36">
    <cfRule type="expression" dxfId="9477" priority="271">
      <formula>$C32&lt;$E$3</formula>
    </cfRule>
  </conditionalFormatting>
  <conditionalFormatting sqref="K32:K36">
    <cfRule type="expression" dxfId="9476" priority="267">
      <formula>$C32=$E$3</formula>
    </cfRule>
    <cfRule type="expression" dxfId="9475" priority="268">
      <formula>$C32&lt;$E$3</formula>
    </cfRule>
    <cfRule type="cellIs" dxfId="9474" priority="269" operator="equal">
      <formula>0</formula>
    </cfRule>
    <cfRule type="expression" dxfId="9473" priority="270">
      <formula>$C32&gt;$E$3</formula>
    </cfRule>
  </conditionalFormatting>
  <conditionalFormatting sqref="K32:K36">
    <cfRule type="expression" dxfId="9472" priority="266">
      <formula>$C32&lt;$E$3</formula>
    </cfRule>
  </conditionalFormatting>
  <conditionalFormatting sqref="K32:K36">
    <cfRule type="expression" dxfId="9471" priority="262">
      <formula>$C32=$E$3</formula>
    </cfRule>
    <cfRule type="expression" dxfId="9470" priority="263">
      <formula>$C32&lt;$E$3</formula>
    </cfRule>
    <cfRule type="cellIs" dxfId="9469" priority="264" operator="equal">
      <formula>0</formula>
    </cfRule>
    <cfRule type="expression" dxfId="9468" priority="265">
      <formula>$C32&gt;$E$3</formula>
    </cfRule>
  </conditionalFormatting>
  <conditionalFormatting sqref="K32:K36">
    <cfRule type="expression" dxfId="9467" priority="261">
      <formula>$E32=""</formula>
    </cfRule>
  </conditionalFormatting>
  <conditionalFormatting sqref="K32:K36">
    <cfRule type="expression" dxfId="9466" priority="260">
      <formula>$C32&lt;$E$3</formula>
    </cfRule>
  </conditionalFormatting>
  <conditionalFormatting sqref="K32:K36">
    <cfRule type="expression" dxfId="9465" priority="259">
      <formula>$E32=""</formula>
    </cfRule>
  </conditionalFormatting>
  <conditionalFormatting sqref="K32:K36">
    <cfRule type="expression" dxfId="9464" priority="258">
      <formula>$E32=""</formula>
    </cfRule>
  </conditionalFormatting>
  <conditionalFormatting sqref="K32:K36">
    <cfRule type="expression" dxfId="9463" priority="257">
      <formula>$C32&lt;$E$3</formula>
    </cfRule>
  </conditionalFormatting>
  <conditionalFormatting sqref="K32:K36">
    <cfRule type="expression" dxfId="9462" priority="256">
      <formula>$E32=""</formula>
    </cfRule>
  </conditionalFormatting>
  <conditionalFormatting sqref="K32:K36">
    <cfRule type="expression" dxfId="9461" priority="255">
      <formula>$C32&lt;$E$3</formula>
    </cfRule>
  </conditionalFormatting>
  <conditionalFormatting sqref="K32:K36">
    <cfRule type="expression" dxfId="9460" priority="254">
      <formula>$E32=""</formula>
    </cfRule>
  </conditionalFormatting>
  <conditionalFormatting sqref="K32:K36">
    <cfRule type="expression" dxfId="9459" priority="253">
      <formula>$C32&lt;$E$3</formula>
    </cfRule>
  </conditionalFormatting>
  <conditionalFormatting sqref="K32:K36">
    <cfRule type="expression" dxfId="9458" priority="252">
      <formula>$E32=""</formula>
    </cfRule>
  </conditionalFormatting>
  <conditionalFormatting sqref="K32:K36">
    <cfRule type="expression" dxfId="9457" priority="251">
      <formula>$C32&lt;$E$3</formula>
    </cfRule>
  </conditionalFormatting>
  <conditionalFormatting sqref="K32:K36">
    <cfRule type="expression" dxfId="9456" priority="247">
      <formula>$C32=$E$3</formula>
    </cfRule>
    <cfRule type="expression" dxfId="9455" priority="248">
      <formula>$C32&lt;$E$3</formula>
    </cfRule>
    <cfRule type="cellIs" dxfId="9454" priority="249" operator="equal">
      <formula>0</formula>
    </cfRule>
    <cfRule type="expression" dxfId="9453" priority="250">
      <formula>$C32&gt;$E$3</formula>
    </cfRule>
  </conditionalFormatting>
  <conditionalFormatting sqref="K32:K36">
    <cfRule type="expression" dxfId="9452" priority="246">
      <formula>$C32&lt;$E$3</formula>
    </cfRule>
  </conditionalFormatting>
  <conditionalFormatting sqref="K32:K36">
    <cfRule type="expression" dxfId="9451" priority="242">
      <formula>$C32=$E$3</formula>
    </cfRule>
    <cfRule type="expression" dxfId="9450" priority="243">
      <formula>$C32&lt;$E$3</formula>
    </cfRule>
    <cfRule type="cellIs" dxfId="9449" priority="244" operator="equal">
      <formula>0</formula>
    </cfRule>
    <cfRule type="expression" dxfId="9448" priority="245">
      <formula>$C32&gt;$E$3</formula>
    </cfRule>
  </conditionalFormatting>
  <conditionalFormatting sqref="K32:K36">
    <cfRule type="expression" dxfId="9447" priority="241">
      <formula>$C32&lt;$E$3</formula>
    </cfRule>
  </conditionalFormatting>
  <conditionalFormatting sqref="K32:K36">
    <cfRule type="expression" dxfId="9446" priority="237">
      <formula>$C32=$E$3</formula>
    </cfRule>
    <cfRule type="expression" dxfId="9445" priority="238">
      <formula>$C32&lt;$E$3</formula>
    </cfRule>
    <cfRule type="cellIs" dxfId="9444" priority="239" operator="equal">
      <formula>0</formula>
    </cfRule>
    <cfRule type="expression" dxfId="9443" priority="240">
      <formula>$C32&gt;$E$3</formula>
    </cfRule>
  </conditionalFormatting>
  <conditionalFormatting sqref="K32:K36">
    <cfRule type="expression" dxfId="9442" priority="236">
      <formula>$C32&lt;$E$3</formula>
    </cfRule>
  </conditionalFormatting>
  <conditionalFormatting sqref="K32:K36">
    <cfRule type="expression" dxfId="9441" priority="232">
      <formula>$C32=$E$3</formula>
    </cfRule>
    <cfRule type="expression" dxfId="9440" priority="233">
      <formula>$C32&lt;$E$3</formula>
    </cfRule>
    <cfRule type="cellIs" dxfId="9439" priority="234" operator="equal">
      <formula>0</formula>
    </cfRule>
    <cfRule type="expression" dxfId="9438" priority="235">
      <formula>$C32&gt;$E$3</formula>
    </cfRule>
  </conditionalFormatting>
  <conditionalFormatting sqref="K32:K36">
    <cfRule type="expression" dxfId="9437" priority="231">
      <formula>$E32=""</formula>
    </cfRule>
  </conditionalFormatting>
  <conditionalFormatting sqref="K32:K36">
    <cfRule type="expression" dxfId="9436" priority="230">
      <formula>$C32&lt;$E$3</formula>
    </cfRule>
  </conditionalFormatting>
  <conditionalFormatting sqref="K32:K36">
    <cfRule type="expression" dxfId="9435" priority="229">
      <formula>$E32=""</formula>
    </cfRule>
  </conditionalFormatting>
  <conditionalFormatting sqref="K32:K36">
    <cfRule type="expression" dxfId="9434" priority="228">
      <formula>$E32=""</formula>
    </cfRule>
  </conditionalFormatting>
  <conditionalFormatting sqref="K32:K36">
    <cfRule type="expression" dxfId="9433" priority="227">
      <formula>$C32&lt;$E$3</formula>
    </cfRule>
  </conditionalFormatting>
  <conditionalFormatting sqref="K32:K36">
    <cfRule type="expression" dxfId="9432" priority="226">
      <formula>$E32=""</formula>
    </cfRule>
  </conditionalFormatting>
  <conditionalFormatting sqref="K32:K36">
    <cfRule type="expression" dxfId="9431" priority="225">
      <formula>$C32&lt;$E$3</formula>
    </cfRule>
  </conditionalFormatting>
  <conditionalFormatting sqref="K32:K36">
    <cfRule type="expression" dxfId="9430" priority="224">
      <formula>$E32=""</formula>
    </cfRule>
  </conditionalFormatting>
  <conditionalFormatting sqref="K32:K36">
    <cfRule type="expression" dxfId="9429" priority="223">
      <formula>$C32&lt;$E$3</formula>
    </cfRule>
  </conditionalFormatting>
  <conditionalFormatting sqref="K32:K36">
    <cfRule type="expression" dxfId="9428" priority="222">
      <formula>$E32=""</formula>
    </cfRule>
  </conditionalFormatting>
  <conditionalFormatting sqref="K32:K38">
    <cfRule type="expression" dxfId="9427" priority="220">
      <formula>$C32&lt;$E$3</formula>
    </cfRule>
  </conditionalFormatting>
  <conditionalFormatting sqref="K32:K38">
    <cfRule type="expression" dxfId="9426" priority="217">
      <formula>$C32=$E$3</formula>
    </cfRule>
    <cfRule type="expression" dxfId="9425" priority="218">
      <formula>$C32&lt;$E$3</formula>
    </cfRule>
    <cfRule type="cellIs" dxfId="9424" priority="219" operator="equal">
      <formula>0</formula>
    </cfRule>
    <cfRule type="expression" dxfId="9423" priority="221">
      <formula>$C32&gt;$E$3</formula>
    </cfRule>
  </conditionalFormatting>
  <conditionalFormatting sqref="K32:K38">
    <cfRule type="expression" dxfId="9422" priority="216">
      <formula>$E32=""</formula>
    </cfRule>
  </conditionalFormatting>
  <conditionalFormatting sqref="K32:K38">
    <cfRule type="expression" dxfId="9421" priority="215">
      <formula>$E32=""</formula>
    </cfRule>
  </conditionalFormatting>
  <conditionalFormatting sqref="K32:K38">
    <cfRule type="expression" dxfId="9420" priority="214">
      <formula>$E32=""</formula>
    </cfRule>
  </conditionalFormatting>
  <conditionalFormatting sqref="K41:K47">
    <cfRule type="cellIs" dxfId="9419" priority="213" stopIfTrue="1" operator="lessThan">
      <formula>0</formula>
    </cfRule>
  </conditionalFormatting>
  <conditionalFormatting sqref="K46">
    <cfRule type="expression" dxfId="9418" priority="212">
      <formula>$C46&lt;$E$3</formula>
    </cfRule>
  </conditionalFormatting>
  <conditionalFormatting sqref="K46">
    <cfRule type="expression" dxfId="9417" priority="208">
      <formula>$C46=$E$3</formula>
    </cfRule>
    <cfRule type="expression" dxfId="9416" priority="209">
      <formula>$C46&lt;$E$3</formula>
    </cfRule>
    <cfRule type="cellIs" dxfId="9415" priority="210" operator="equal">
      <formula>0</formula>
    </cfRule>
    <cfRule type="expression" dxfId="9414" priority="211">
      <formula>$C46&gt;$E$3</formula>
    </cfRule>
  </conditionalFormatting>
  <conditionalFormatting sqref="K46">
    <cfRule type="expression" dxfId="9413" priority="207">
      <formula>$C46&lt;$E$3</formula>
    </cfRule>
  </conditionalFormatting>
  <conditionalFormatting sqref="K46">
    <cfRule type="expression" dxfId="9412" priority="203">
      <formula>$C46=$E$3</formula>
    </cfRule>
    <cfRule type="expression" dxfId="9411" priority="204">
      <formula>$C46&lt;$E$3</formula>
    </cfRule>
    <cfRule type="cellIs" dxfId="9410" priority="205" operator="equal">
      <formula>0</formula>
    </cfRule>
    <cfRule type="expression" dxfId="9409" priority="206">
      <formula>$C46&gt;$E$3</formula>
    </cfRule>
  </conditionalFormatting>
  <conditionalFormatting sqref="K46">
    <cfRule type="expression" dxfId="9408" priority="202">
      <formula>$C46&lt;$E$3</formula>
    </cfRule>
  </conditionalFormatting>
  <conditionalFormatting sqref="K46">
    <cfRule type="expression" dxfId="9407" priority="198">
      <formula>$C46=$E$3</formula>
    </cfRule>
    <cfRule type="expression" dxfId="9406" priority="199">
      <formula>$C46&lt;$E$3</formula>
    </cfRule>
    <cfRule type="cellIs" dxfId="9405" priority="200" operator="equal">
      <formula>0</formula>
    </cfRule>
    <cfRule type="expression" dxfId="9404" priority="201">
      <formula>$C46&gt;$E$3</formula>
    </cfRule>
  </conditionalFormatting>
  <conditionalFormatting sqref="K46">
    <cfRule type="expression" dxfId="9403" priority="197">
      <formula>$C46&lt;$E$3</formula>
    </cfRule>
  </conditionalFormatting>
  <conditionalFormatting sqref="K46">
    <cfRule type="expression" dxfId="9402" priority="193">
      <formula>$C46=$E$3</formula>
    </cfRule>
    <cfRule type="expression" dxfId="9401" priority="194">
      <formula>$C46&lt;$E$3</formula>
    </cfRule>
    <cfRule type="cellIs" dxfId="9400" priority="195" operator="equal">
      <formula>0</formula>
    </cfRule>
    <cfRule type="expression" dxfId="9399" priority="196">
      <formula>$C46&gt;$E$3</formula>
    </cfRule>
  </conditionalFormatting>
  <conditionalFormatting sqref="K46">
    <cfRule type="expression" dxfId="9398" priority="192">
      <formula>$E46=""</formula>
    </cfRule>
  </conditionalFormatting>
  <conditionalFormatting sqref="K46">
    <cfRule type="expression" dxfId="9397" priority="191">
      <formula>$C46&lt;$E$3</formula>
    </cfRule>
  </conditionalFormatting>
  <conditionalFormatting sqref="K46">
    <cfRule type="expression" dxfId="9396" priority="190">
      <formula>$E46=""</formula>
    </cfRule>
  </conditionalFormatting>
  <conditionalFormatting sqref="K46">
    <cfRule type="expression" dxfId="9395" priority="189">
      <formula>$E46=""</formula>
    </cfRule>
  </conditionalFormatting>
  <conditionalFormatting sqref="K46">
    <cfRule type="expression" dxfId="9394" priority="188">
      <formula>$C46&lt;$E$3</formula>
    </cfRule>
  </conditionalFormatting>
  <conditionalFormatting sqref="K46">
    <cfRule type="expression" dxfId="9393" priority="187">
      <formula>$E46=""</formula>
    </cfRule>
  </conditionalFormatting>
  <conditionalFormatting sqref="K46">
    <cfRule type="expression" dxfId="9392" priority="186">
      <formula>$C46&lt;$E$3</formula>
    </cfRule>
  </conditionalFormatting>
  <conditionalFormatting sqref="K46">
    <cfRule type="expression" dxfId="9391" priority="185">
      <formula>$E46=""</formula>
    </cfRule>
  </conditionalFormatting>
  <conditionalFormatting sqref="K46">
    <cfRule type="expression" dxfId="9390" priority="184">
      <formula>$C46&lt;$E$3</formula>
    </cfRule>
  </conditionalFormatting>
  <conditionalFormatting sqref="K46">
    <cfRule type="expression" dxfId="9389" priority="183">
      <formula>$E46=""</formula>
    </cfRule>
  </conditionalFormatting>
  <conditionalFormatting sqref="K46">
    <cfRule type="expression" dxfId="9388" priority="182">
      <formula>$C46&lt;$E$3</formula>
    </cfRule>
  </conditionalFormatting>
  <conditionalFormatting sqref="K46">
    <cfRule type="expression" dxfId="9387" priority="178">
      <formula>$C46=$E$3</formula>
    </cfRule>
    <cfRule type="expression" dxfId="9386" priority="179">
      <formula>$C46&lt;$E$3</formula>
    </cfRule>
    <cfRule type="cellIs" dxfId="9385" priority="180" operator="equal">
      <formula>0</formula>
    </cfRule>
    <cfRule type="expression" dxfId="9384" priority="181">
      <formula>$C46&gt;$E$3</formula>
    </cfRule>
  </conditionalFormatting>
  <conditionalFormatting sqref="K46">
    <cfRule type="expression" dxfId="9383" priority="177">
      <formula>$C46&lt;$E$3</formula>
    </cfRule>
  </conditionalFormatting>
  <conditionalFormatting sqref="K46">
    <cfRule type="expression" dxfId="9382" priority="173">
      <formula>$C46=$E$3</formula>
    </cfRule>
    <cfRule type="expression" dxfId="9381" priority="174">
      <formula>$C46&lt;$E$3</formula>
    </cfRule>
    <cfRule type="cellIs" dxfId="9380" priority="175" operator="equal">
      <formula>0</formula>
    </cfRule>
    <cfRule type="expression" dxfId="9379" priority="176">
      <formula>$C46&gt;$E$3</formula>
    </cfRule>
  </conditionalFormatting>
  <conditionalFormatting sqref="K46">
    <cfRule type="expression" dxfId="9378" priority="172">
      <formula>$C46&lt;$E$3</formula>
    </cfRule>
  </conditionalFormatting>
  <conditionalFormatting sqref="K46">
    <cfRule type="expression" dxfId="9377" priority="168">
      <formula>$C46=$E$3</formula>
    </cfRule>
    <cfRule type="expression" dxfId="9376" priority="169">
      <formula>$C46&lt;$E$3</formula>
    </cfRule>
    <cfRule type="cellIs" dxfId="9375" priority="170" operator="equal">
      <formula>0</formula>
    </cfRule>
    <cfRule type="expression" dxfId="9374" priority="171">
      <formula>$C46&gt;$E$3</formula>
    </cfRule>
  </conditionalFormatting>
  <conditionalFormatting sqref="K46">
    <cfRule type="expression" dxfId="9373" priority="167">
      <formula>$C46&lt;$E$3</formula>
    </cfRule>
  </conditionalFormatting>
  <conditionalFormatting sqref="K46">
    <cfRule type="expression" dxfId="9372" priority="163">
      <formula>$C46=$E$3</formula>
    </cfRule>
    <cfRule type="expression" dxfId="9371" priority="164">
      <formula>$C46&lt;$E$3</formula>
    </cfRule>
    <cfRule type="cellIs" dxfId="9370" priority="165" operator="equal">
      <formula>0</formula>
    </cfRule>
    <cfRule type="expression" dxfId="9369" priority="166">
      <formula>$C46&gt;$E$3</formula>
    </cfRule>
  </conditionalFormatting>
  <conditionalFormatting sqref="K46">
    <cfRule type="expression" dxfId="9368" priority="162">
      <formula>$E46=""</formula>
    </cfRule>
  </conditionalFormatting>
  <conditionalFormatting sqref="K46">
    <cfRule type="expression" dxfId="9367" priority="161">
      <formula>$C46&lt;$E$3</formula>
    </cfRule>
  </conditionalFormatting>
  <conditionalFormatting sqref="K46">
    <cfRule type="expression" dxfId="9366" priority="160">
      <formula>$E46=""</formula>
    </cfRule>
  </conditionalFormatting>
  <conditionalFormatting sqref="K46">
    <cfRule type="expression" dxfId="9365" priority="159">
      <formula>$E46=""</formula>
    </cfRule>
  </conditionalFormatting>
  <conditionalFormatting sqref="K46">
    <cfRule type="expression" dxfId="9364" priority="158">
      <formula>$C46&lt;$E$3</formula>
    </cfRule>
  </conditionalFormatting>
  <conditionalFormatting sqref="K46">
    <cfRule type="expression" dxfId="9363" priority="157">
      <formula>$E46=""</formula>
    </cfRule>
  </conditionalFormatting>
  <conditionalFormatting sqref="K46">
    <cfRule type="expression" dxfId="9362" priority="156">
      <formula>$C46&lt;$E$3</formula>
    </cfRule>
  </conditionalFormatting>
  <conditionalFormatting sqref="K46">
    <cfRule type="expression" dxfId="9361" priority="155">
      <formula>$E46=""</formula>
    </cfRule>
  </conditionalFormatting>
  <conditionalFormatting sqref="K46">
    <cfRule type="expression" dxfId="9360" priority="154">
      <formula>$C46&lt;$E$3</formula>
    </cfRule>
  </conditionalFormatting>
  <conditionalFormatting sqref="K46">
    <cfRule type="expression" dxfId="9359" priority="153">
      <formula>$E46=""</formula>
    </cfRule>
  </conditionalFormatting>
  <conditionalFormatting sqref="K41:K45">
    <cfRule type="expression" dxfId="9358" priority="152">
      <formula>$C41&lt;$E$3</formula>
    </cfRule>
  </conditionalFormatting>
  <conditionalFormatting sqref="K41:K45">
    <cfRule type="expression" dxfId="9357" priority="148">
      <formula>$C41=$E$3</formula>
    </cfRule>
    <cfRule type="expression" dxfId="9356" priority="149">
      <formula>$C41&lt;$E$3</formula>
    </cfRule>
    <cfRule type="cellIs" dxfId="9355" priority="150" operator="equal">
      <formula>0</formula>
    </cfRule>
    <cfRule type="expression" dxfId="9354" priority="151">
      <formula>$C41&gt;$E$3</formula>
    </cfRule>
  </conditionalFormatting>
  <conditionalFormatting sqref="K41:K45">
    <cfRule type="expression" dxfId="9353" priority="147">
      <formula>$C41&lt;$E$3</formula>
    </cfRule>
  </conditionalFormatting>
  <conditionalFormatting sqref="K41:K45">
    <cfRule type="expression" dxfId="9352" priority="143">
      <formula>$C41=$E$3</formula>
    </cfRule>
    <cfRule type="expression" dxfId="9351" priority="144">
      <formula>$C41&lt;$E$3</formula>
    </cfRule>
    <cfRule type="cellIs" dxfId="9350" priority="145" operator="equal">
      <formula>0</formula>
    </cfRule>
    <cfRule type="expression" dxfId="9349" priority="146">
      <formula>$C41&gt;$E$3</formula>
    </cfRule>
  </conditionalFormatting>
  <conditionalFormatting sqref="K41:K45">
    <cfRule type="expression" dxfId="9348" priority="142">
      <formula>$C41&lt;$E$3</formula>
    </cfRule>
  </conditionalFormatting>
  <conditionalFormatting sqref="K41:K45">
    <cfRule type="expression" dxfId="9347" priority="138">
      <formula>$C41=$E$3</formula>
    </cfRule>
    <cfRule type="expression" dxfId="9346" priority="139">
      <formula>$C41&lt;$E$3</formula>
    </cfRule>
    <cfRule type="cellIs" dxfId="9345" priority="140" operator="equal">
      <formula>0</formula>
    </cfRule>
    <cfRule type="expression" dxfId="9344" priority="141">
      <formula>$C41&gt;$E$3</formula>
    </cfRule>
  </conditionalFormatting>
  <conditionalFormatting sqref="K41:K45">
    <cfRule type="expression" dxfId="9343" priority="137">
      <formula>$C41&lt;$E$3</formula>
    </cfRule>
  </conditionalFormatting>
  <conditionalFormatting sqref="K41:K45">
    <cfRule type="expression" dxfId="9342" priority="133">
      <formula>$C41=$E$3</formula>
    </cfRule>
    <cfRule type="expression" dxfId="9341" priority="134">
      <formula>$C41&lt;$E$3</formula>
    </cfRule>
    <cfRule type="cellIs" dxfId="9340" priority="135" operator="equal">
      <formula>0</formula>
    </cfRule>
    <cfRule type="expression" dxfId="9339" priority="136">
      <formula>$C41&gt;$E$3</formula>
    </cfRule>
  </conditionalFormatting>
  <conditionalFormatting sqref="K41:K45">
    <cfRule type="expression" dxfId="9338" priority="132">
      <formula>$E41=""</formula>
    </cfRule>
  </conditionalFormatting>
  <conditionalFormatting sqref="K41:K45">
    <cfRule type="expression" dxfId="9337" priority="131">
      <formula>$C41&lt;$E$3</formula>
    </cfRule>
  </conditionalFormatting>
  <conditionalFormatting sqref="K41:K45">
    <cfRule type="expression" dxfId="9336" priority="130">
      <formula>$E41=""</formula>
    </cfRule>
  </conditionalFormatting>
  <conditionalFormatting sqref="K41:K45">
    <cfRule type="expression" dxfId="9335" priority="129">
      <formula>$E41=""</formula>
    </cfRule>
  </conditionalFormatting>
  <conditionalFormatting sqref="K41:K45">
    <cfRule type="expression" dxfId="9334" priority="128">
      <formula>$C41&lt;$E$3</formula>
    </cfRule>
  </conditionalFormatting>
  <conditionalFormatting sqref="K41:K45">
    <cfRule type="expression" dxfId="9333" priority="127">
      <formula>$E41=""</formula>
    </cfRule>
  </conditionalFormatting>
  <conditionalFormatting sqref="K41:K45">
    <cfRule type="expression" dxfId="9332" priority="126">
      <formula>$C41&lt;$E$3</formula>
    </cfRule>
  </conditionalFormatting>
  <conditionalFormatting sqref="K41:K45">
    <cfRule type="expression" dxfId="9331" priority="125">
      <formula>$E41=""</formula>
    </cfRule>
  </conditionalFormatting>
  <conditionalFormatting sqref="K41:K45">
    <cfRule type="expression" dxfId="9330" priority="124">
      <formula>$C41&lt;$E$3</formula>
    </cfRule>
  </conditionalFormatting>
  <conditionalFormatting sqref="K41:K45">
    <cfRule type="expression" dxfId="9329" priority="123">
      <formula>$E41=""</formula>
    </cfRule>
  </conditionalFormatting>
  <conditionalFormatting sqref="K41:K45">
    <cfRule type="expression" dxfId="9328" priority="122">
      <formula>$C41&lt;$E$3</formula>
    </cfRule>
  </conditionalFormatting>
  <conditionalFormatting sqref="K41:K45">
    <cfRule type="expression" dxfId="9327" priority="118">
      <formula>$C41=$E$3</formula>
    </cfRule>
    <cfRule type="expression" dxfId="9326" priority="119">
      <formula>$C41&lt;$E$3</formula>
    </cfRule>
    <cfRule type="cellIs" dxfId="9325" priority="120" operator="equal">
      <formula>0</formula>
    </cfRule>
    <cfRule type="expression" dxfId="9324" priority="121">
      <formula>$C41&gt;$E$3</formula>
    </cfRule>
  </conditionalFormatting>
  <conditionalFormatting sqref="K41:K45">
    <cfRule type="expression" dxfId="9323" priority="117">
      <formula>$C41&lt;$E$3</formula>
    </cfRule>
  </conditionalFormatting>
  <conditionalFormatting sqref="K41:K45">
    <cfRule type="expression" dxfId="9322" priority="113">
      <formula>$C41=$E$3</formula>
    </cfRule>
    <cfRule type="expression" dxfId="9321" priority="114">
      <formula>$C41&lt;$E$3</formula>
    </cfRule>
    <cfRule type="cellIs" dxfId="9320" priority="115" operator="equal">
      <formula>0</formula>
    </cfRule>
    <cfRule type="expression" dxfId="9319" priority="116">
      <formula>$C41&gt;$E$3</formula>
    </cfRule>
  </conditionalFormatting>
  <conditionalFormatting sqref="K41:K45">
    <cfRule type="expression" dxfId="9318" priority="112">
      <formula>$C41&lt;$E$3</formula>
    </cfRule>
  </conditionalFormatting>
  <conditionalFormatting sqref="K41:K45">
    <cfRule type="expression" dxfId="9317" priority="108">
      <formula>$C41=$E$3</formula>
    </cfRule>
    <cfRule type="expression" dxfId="9316" priority="109">
      <formula>$C41&lt;$E$3</formula>
    </cfRule>
    <cfRule type="cellIs" dxfId="9315" priority="110" operator="equal">
      <formula>0</formula>
    </cfRule>
    <cfRule type="expression" dxfId="9314" priority="111">
      <formula>$C41&gt;$E$3</formula>
    </cfRule>
  </conditionalFormatting>
  <conditionalFormatting sqref="K41:K45">
    <cfRule type="expression" dxfId="9313" priority="107">
      <formula>$C41&lt;$E$3</formula>
    </cfRule>
  </conditionalFormatting>
  <conditionalFormatting sqref="K41:K45">
    <cfRule type="expression" dxfId="9312" priority="103">
      <formula>$C41=$E$3</formula>
    </cfRule>
    <cfRule type="expression" dxfId="9311" priority="104">
      <formula>$C41&lt;$E$3</formula>
    </cfRule>
    <cfRule type="cellIs" dxfId="9310" priority="105" operator="equal">
      <formula>0</formula>
    </cfRule>
    <cfRule type="expression" dxfId="9309" priority="106">
      <formula>$C41&gt;$E$3</formula>
    </cfRule>
  </conditionalFormatting>
  <conditionalFormatting sqref="K41:K45">
    <cfRule type="expression" dxfId="9308" priority="102">
      <formula>$E41=""</formula>
    </cfRule>
  </conditionalFormatting>
  <conditionalFormatting sqref="K41:K45">
    <cfRule type="expression" dxfId="9307" priority="101">
      <formula>$C41&lt;$E$3</formula>
    </cfRule>
  </conditionalFormatting>
  <conditionalFormatting sqref="K41:K45">
    <cfRule type="expression" dxfId="9306" priority="100">
      <formula>$E41=""</formula>
    </cfRule>
  </conditionalFormatting>
  <conditionalFormatting sqref="K41:K45">
    <cfRule type="expression" dxfId="9305" priority="99">
      <formula>$E41=""</formula>
    </cfRule>
  </conditionalFormatting>
  <conditionalFormatting sqref="K41:K45">
    <cfRule type="expression" dxfId="9304" priority="98">
      <formula>$C41&lt;$E$3</formula>
    </cfRule>
  </conditionalFormatting>
  <conditionalFormatting sqref="K41:K45">
    <cfRule type="expression" dxfId="9303" priority="97">
      <formula>$E41=""</formula>
    </cfRule>
  </conditionalFormatting>
  <conditionalFormatting sqref="K41:K45">
    <cfRule type="expression" dxfId="9302" priority="96">
      <formula>$C41&lt;$E$3</formula>
    </cfRule>
  </conditionalFormatting>
  <conditionalFormatting sqref="K41:K45">
    <cfRule type="expression" dxfId="9301" priority="95">
      <formula>$E41=""</formula>
    </cfRule>
  </conditionalFormatting>
  <conditionalFormatting sqref="K41:K45">
    <cfRule type="expression" dxfId="9300" priority="94">
      <formula>$C41&lt;$E$3</formula>
    </cfRule>
  </conditionalFormatting>
  <conditionalFormatting sqref="K41:K45">
    <cfRule type="expression" dxfId="9299" priority="93">
      <formula>$E41=""</formula>
    </cfRule>
  </conditionalFormatting>
  <conditionalFormatting sqref="K41:K47">
    <cfRule type="expression" dxfId="9298" priority="91">
      <formula>$C41&lt;$E$3</formula>
    </cfRule>
  </conditionalFormatting>
  <conditionalFormatting sqref="K41:K47">
    <cfRule type="expression" dxfId="9297" priority="88">
      <formula>$C41=$E$3</formula>
    </cfRule>
    <cfRule type="expression" dxfId="9296" priority="89">
      <formula>$C41&lt;$E$3</formula>
    </cfRule>
    <cfRule type="cellIs" dxfId="9295" priority="90" operator="equal">
      <formula>0</formula>
    </cfRule>
    <cfRule type="expression" dxfId="9294" priority="92">
      <formula>$C41&gt;$E$3</formula>
    </cfRule>
  </conditionalFormatting>
  <conditionalFormatting sqref="K41:K47">
    <cfRule type="expression" dxfId="9293" priority="87">
      <formula>$E41=""</formula>
    </cfRule>
  </conditionalFormatting>
  <conditionalFormatting sqref="K41:K47">
    <cfRule type="expression" dxfId="9292" priority="86">
      <formula>$E41=""</formula>
    </cfRule>
  </conditionalFormatting>
  <conditionalFormatting sqref="K41:K47">
    <cfRule type="expression" dxfId="9291" priority="85">
      <formula>$E41=""</formula>
    </cfRule>
  </conditionalFormatting>
  <conditionalFormatting sqref="K50:K51">
    <cfRule type="cellIs" dxfId="9290" priority="84" stopIfTrue="1" operator="lessThan">
      <formula>0</formula>
    </cfRule>
  </conditionalFormatting>
  <conditionalFormatting sqref="K50:K51">
    <cfRule type="expression" dxfId="9289" priority="82">
      <formula>$C50&lt;$E$3</formula>
    </cfRule>
  </conditionalFormatting>
  <conditionalFormatting sqref="K50:K51">
    <cfRule type="expression" dxfId="9288" priority="79">
      <formula>$C50=$E$3</formula>
    </cfRule>
    <cfRule type="expression" dxfId="9287" priority="80">
      <formula>$C50&lt;$E$3</formula>
    </cfRule>
    <cfRule type="cellIs" dxfId="9286" priority="81" operator="equal">
      <formula>0</formula>
    </cfRule>
    <cfRule type="expression" dxfId="9285" priority="83">
      <formula>$C50&gt;$E$3</formula>
    </cfRule>
  </conditionalFormatting>
  <conditionalFormatting sqref="K50:K51">
    <cfRule type="expression" dxfId="9284" priority="78">
      <formula>$E50=""</formula>
    </cfRule>
  </conditionalFormatting>
  <conditionalFormatting sqref="K50:K51">
    <cfRule type="expression" dxfId="9283" priority="77">
      <formula>$E50=""</formula>
    </cfRule>
  </conditionalFormatting>
  <conditionalFormatting sqref="K50:K51">
    <cfRule type="expression" dxfId="9282" priority="76">
      <formula>$E50=""</formula>
    </cfRule>
  </conditionalFormatting>
  <conditionalFormatting sqref="K50:K51">
    <cfRule type="cellIs" dxfId="9281" priority="75" stopIfTrue="1" operator="lessThan">
      <formula>0</formula>
    </cfRule>
  </conditionalFormatting>
  <conditionalFormatting sqref="K50:K51">
    <cfRule type="cellIs" dxfId="9280" priority="74" stopIfTrue="1" operator="lessThan">
      <formula>0</formula>
    </cfRule>
  </conditionalFormatting>
  <conditionalFormatting sqref="K50:K51">
    <cfRule type="cellIs" dxfId="9279" priority="73" stopIfTrue="1" operator="lessThan">
      <formula>0</formula>
    </cfRule>
  </conditionalFormatting>
  <conditionalFormatting sqref="K50:K51">
    <cfRule type="cellIs" dxfId="9278" priority="72" stopIfTrue="1" operator="lessThan">
      <formula>0</formula>
    </cfRule>
  </conditionalFormatting>
  <conditionalFormatting sqref="K50:K51">
    <cfRule type="expression" dxfId="9277" priority="71">
      <formula>$C50&lt;$E$3</formula>
    </cfRule>
  </conditionalFormatting>
  <conditionalFormatting sqref="K50:K51">
    <cfRule type="expression" dxfId="9276" priority="67">
      <formula>$C50=$E$3</formula>
    </cfRule>
    <cfRule type="expression" dxfId="9275" priority="68">
      <formula>$C50&lt;$E$3</formula>
    </cfRule>
    <cfRule type="cellIs" dxfId="9274" priority="69" operator="equal">
      <formula>0</formula>
    </cfRule>
    <cfRule type="expression" dxfId="9273" priority="70">
      <formula>$C50&gt;$E$3</formula>
    </cfRule>
  </conditionalFormatting>
  <conditionalFormatting sqref="K50:K51">
    <cfRule type="expression" dxfId="9272" priority="66">
      <formula>$C50&lt;$E$3</formula>
    </cfRule>
  </conditionalFormatting>
  <conditionalFormatting sqref="K50:K51">
    <cfRule type="expression" dxfId="9271" priority="62">
      <formula>$C50=$E$3</formula>
    </cfRule>
    <cfRule type="expression" dxfId="9270" priority="63">
      <formula>$C50&lt;$E$3</formula>
    </cfRule>
    <cfRule type="cellIs" dxfId="9269" priority="64" operator="equal">
      <formula>0</formula>
    </cfRule>
    <cfRule type="expression" dxfId="9268" priority="65">
      <formula>$C50&gt;$E$3</formula>
    </cfRule>
  </conditionalFormatting>
  <conditionalFormatting sqref="K50:K51">
    <cfRule type="expression" dxfId="9267" priority="61">
      <formula>$C50&lt;$E$3</formula>
    </cfRule>
  </conditionalFormatting>
  <conditionalFormatting sqref="K50:K51">
    <cfRule type="expression" dxfId="9266" priority="57">
      <formula>$C50=$E$3</formula>
    </cfRule>
    <cfRule type="expression" dxfId="9265" priority="58">
      <formula>$C50&lt;$E$3</formula>
    </cfRule>
    <cfRule type="cellIs" dxfId="9264" priority="59" operator="equal">
      <formula>0</formula>
    </cfRule>
    <cfRule type="expression" dxfId="9263" priority="60">
      <formula>$C50&gt;$E$3</formula>
    </cfRule>
  </conditionalFormatting>
  <conditionalFormatting sqref="K50:K51">
    <cfRule type="expression" dxfId="9262" priority="56">
      <formula>$C50&lt;$E$3</formula>
    </cfRule>
  </conditionalFormatting>
  <conditionalFormatting sqref="K50:K51">
    <cfRule type="expression" dxfId="9261" priority="52">
      <formula>$C50=$E$3</formula>
    </cfRule>
    <cfRule type="expression" dxfId="9260" priority="53">
      <formula>$C50&lt;$E$3</formula>
    </cfRule>
    <cfRule type="cellIs" dxfId="9259" priority="54" operator="equal">
      <formula>0</formula>
    </cfRule>
    <cfRule type="expression" dxfId="9258" priority="55">
      <formula>$C50&gt;$E$3</formula>
    </cfRule>
  </conditionalFormatting>
  <conditionalFormatting sqref="K50:K51">
    <cfRule type="expression" dxfId="9257" priority="51">
      <formula>$E50=""</formula>
    </cfRule>
  </conditionalFormatting>
  <conditionalFormatting sqref="K50:K51">
    <cfRule type="expression" dxfId="9256" priority="50">
      <formula>$C50&lt;$E$3</formula>
    </cfRule>
  </conditionalFormatting>
  <conditionalFormatting sqref="K50:K51">
    <cfRule type="expression" dxfId="9255" priority="49">
      <formula>$E50=""</formula>
    </cfRule>
  </conditionalFormatting>
  <conditionalFormatting sqref="K50:K51">
    <cfRule type="expression" dxfId="9254" priority="48">
      <formula>$E50=""</formula>
    </cfRule>
  </conditionalFormatting>
  <conditionalFormatting sqref="K50:K51">
    <cfRule type="expression" dxfId="9253" priority="47">
      <formula>$C50&lt;$E$3</formula>
    </cfRule>
  </conditionalFormatting>
  <conditionalFormatting sqref="K50:K51">
    <cfRule type="expression" dxfId="9252" priority="46">
      <formula>$E50=""</formula>
    </cfRule>
  </conditionalFormatting>
  <conditionalFormatting sqref="K50:K51">
    <cfRule type="expression" dxfId="9251" priority="45">
      <formula>$C50&lt;$E$3</formula>
    </cfRule>
  </conditionalFormatting>
  <conditionalFormatting sqref="K50:K51">
    <cfRule type="expression" dxfId="9250" priority="44">
      <formula>$E50=""</formula>
    </cfRule>
  </conditionalFormatting>
  <conditionalFormatting sqref="K50:K51">
    <cfRule type="expression" dxfId="9249" priority="43">
      <formula>$C50&lt;$E$3</formula>
    </cfRule>
  </conditionalFormatting>
  <conditionalFormatting sqref="K50:K51">
    <cfRule type="expression" dxfId="9248" priority="42">
      <formula>$E50=""</formula>
    </cfRule>
  </conditionalFormatting>
  <conditionalFormatting sqref="K50:K51">
    <cfRule type="expression" dxfId="9247" priority="41">
      <formula>$C50&lt;$E$3</formula>
    </cfRule>
  </conditionalFormatting>
  <conditionalFormatting sqref="K50:K51">
    <cfRule type="expression" dxfId="9246" priority="37">
      <formula>$C50=$E$3</formula>
    </cfRule>
    <cfRule type="expression" dxfId="9245" priority="38">
      <formula>$C50&lt;$E$3</formula>
    </cfRule>
    <cfRule type="cellIs" dxfId="9244" priority="39" operator="equal">
      <formula>0</formula>
    </cfRule>
    <cfRule type="expression" dxfId="9243" priority="40">
      <formula>$C50&gt;$E$3</formula>
    </cfRule>
  </conditionalFormatting>
  <conditionalFormatting sqref="K50:K51">
    <cfRule type="expression" dxfId="9242" priority="36">
      <formula>$C50&lt;$E$3</formula>
    </cfRule>
  </conditionalFormatting>
  <conditionalFormatting sqref="K50:K51">
    <cfRule type="expression" dxfId="9241" priority="32">
      <formula>$C50=$E$3</formula>
    </cfRule>
    <cfRule type="expression" dxfId="9240" priority="33">
      <formula>$C50&lt;$E$3</formula>
    </cfRule>
    <cfRule type="cellIs" dxfId="9239" priority="34" operator="equal">
      <formula>0</formula>
    </cfRule>
    <cfRule type="expression" dxfId="9238" priority="35">
      <formula>$C50&gt;$E$3</formula>
    </cfRule>
  </conditionalFormatting>
  <conditionalFormatting sqref="K50:K51">
    <cfRule type="expression" dxfId="9237" priority="31">
      <formula>$C50&lt;$E$3</formula>
    </cfRule>
  </conditionalFormatting>
  <conditionalFormatting sqref="K50:K51">
    <cfRule type="expression" dxfId="9236" priority="27">
      <formula>$C50=$E$3</formula>
    </cfRule>
    <cfRule type="expression" dxfId="9235" priority="28">
      <formula>$C50&lt;$E$3</formula>
    </cfRule>
    <cfRule type="cellIs" dxfId="9234" priority="29" operator="equal">
      <formula>0</formula>
    </cfRule>
    <cfRule type="expression" dxfId="9233" priority="30">
      <formula>$C50&gt;$E$3</formula>
    </cfRule>
  </conditionalFormatting>
  <conditionalFormatting sqref="K50:K51">
    <cfRule type="expression" dxfId="9232" priority="26">
      <formula>$C50&lt;$E$3</formula>
    </cfRule>
  </conditionalFormatting>
  <conditionalFormatting sqref="K50:K51">
    <cfRule type="expression" dxfId="9231" priority="22">
      <formula>$C50=$E$3</formula>
    </cfRule>
    <cfRule type="expression" dxfId="9230" priority="23">
      <formula>$C50&lt;$E$3</formula>
    </cfRule>
    <cfRule type="cellIs" dxfId="9229" priority="24" operator="equal">
      <formula>0</formula>
    </cfRule>
    <cfRule type="expression" dxfId="9228" priority="25">
      <formula>$C50&gt;$E$3</formula>
    </cfRule>
  </conditionalFormatting>
  <conditionalFormatting sqref="K50:K51">
    <cfRule type="expression" dxfId="9227" priority="21">
      <formula>$E50=""</formula>
    </cfRule>
  </conditionalFormatting>
  <conditionalFormatting sqref="K50:K51">
    <cfRule type="expression" dxfId="9226" priority="20">
      <formula>$C50&lt;$E$3</formula>
    </cfRule>
  </conditionalFormatting>
  <conditionalFormatting sqref="K50:K51">
    <cfRule type="expression" dxfId="9225" priority="19">
      <formula>$E50=""</formula>
    </cfRule>
  </conditionalFormatting>
  <conditionalFormatting sqref="K50:K51">
    <cfRule type="expression" dxfId="9224" priority="18">
      <formula>$E50=""</formula>
    </cfRule>
  </conditionalFormatting>
  <conditionalFormatting sqref="K50:K51">
    <cfRule type="expression" dxfId="9223" priority="17">
      <formula>$C50&lt;$E$3</formula>
    </cfRule>
  </conditionalFormatting>
  <conditionalFormatting sqref="K50:K51">
    <cfRule type="expression" dxfId="9222" priority="16">
      <formula>$E50=""</formula>
    </cfRule>
  </conditionalFormatting>
  <conditionalFormatting sqref="K50:K51">
    <cfRule type="expression" dxfId="9221" priority="15">
      <formula>$C50&lt;$E$3</formula>
    </cfRule>
  </conditionalFormatting>
  <conditionalFormatting sqref="K50:K51">
    <cfRule type="expression" dxfId="9220" priority="14">
      <formula>$E50=""</formula>
    </cfRule>
  </conditionalFormatting>
  <conditionalFormatting sqref="K50:K51">
    <cfRule type="expression" dxfId="9219" priority="13">
      <formula>$C50&lt;$E$3</formula>
    </cfRule>
  </conditionalFormatting>
  <conditionalFormatting sqref="K50:K51">
    <cfRule type="expression" dxfId="9218" priority="12">
      <formula>$E50=""</formula>
    </cfRule>
  </conditionalFormatting>
  <conditionalFormatting sqref="K50:K51">
    <cfRule type="expression" dxfId="9217" priority="10">
      <formula>$C50&lt;$E$3</formula>
    </cfRule>
  </conditionalFormatting>
  <conditionalFormatting sqref="K50:K51">
    <cfRule type="expression" dxfId="9216" priority="7">
      <formula>$C50=$E$3</formula>
    </cfRule>
    <cfRule type="expression" dxfId="9215" priority="8">
      <formula>$C50&lt;$E$3</formula>
    </cfRule>
    <cfRule type="cellIs" dxfId="9214" priority="9" operator="equal">
      <formula>0</formula>
    </cfRule>
    <cfRule type="expression" dxfId="9213" priority="11">
      <formula>$C50&gt;$E$3</formula>
    </cfRule>
  </conditionalFormatting>
  <conditionalFormatting sqref="K50:K51">
    <cfRule type="expression" dxfId="9212" priority="6">
      <formula>$E50=""</formula>
    </cfRule>
  </conditionalFormatting>
  <conditionalFormatting sqref="K50:K51">
    <cfRule type="expression" dxfId="9211" priority="5">
      <formula>$E50=""</formula>
    </cfRule>
  </conditionalFormatting>
  <conditionalFormatting sqref="K50:K51">
    <cfRule type="expression" dxfId="9210" priority="4">
      <formula>$E50=""</formula>
    </cfRule>
  </conditionalFormatting>
  <conditionalFormatting sqref="V50:W51 V5:W20 V23:W29 V32:W38 V41:W47">
    <cfRule type="cellIs" dxfId="9209" priority="1" stopIfTrue="1" operator="lessThan">
      <formula>0</formula>
    </cfRule>
  </conditionalFormatting>
  <conditionalFormatting sqref="Q4:Q51 R5:R11 R14:R20 R23:R29 R32:R38 R41:R47 R50:R51 T50:U51 T41:U47 T32:U38 T23:U29 T14:U20 T5:U11">
    <cfRule type="cellIs" dxfId="9208" priority="2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BB66"/>
  <sheetViews>
    <sheetView zoomScale="75" zoomScaleNormal="75" zoomScalePageLayoutView="75" workbookViewId="0">
      <pane ySplit="4" topLeftCell="A5" activePane="bottomLeft" state="frozen"/>
      <selection activeCell="D1" sqref="D1"/>
      <selection pane="bottomLeft" activeCell="H6" sqref="H6"/>
    </sheetView>
  </sheetViews>
  <sheetFormatPr baseColWidth="10" defaultColWidth="8.83203125" defaultRowHeight="15" x14ac:dyDescent="0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.1640625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.25" customHeight="1" thickBot="1">
      <c r="A1" s="52">
        <v>5</v>
      </c>
      <c r="B1" s="50" t="s">
        <v>0</v>
      </c>
      <c r="C1" s="51" t="s">
        <v>0</v>
      </c>
      <c r="D1" s="51"/>
      <c r="E1" s="363" t="str">
        <f>VLOOKUP(A1,'MY STATS'!$B$29:$E$40,4)</f>
        <v>May.</v>
      </c>
      <c r="F1" s="141" t="s">
        <v>78</v>
      </c>
      <c r="G1" s="142" t="s">
        <v>77</v>
      </c>
      <c r="H1" s="143" t="s">
        <v>79</v>
      </c>
      <c r="I1" s="144"/>
      <c r="J1" s="144" t="s">
        <v>113</v>
      </c>
      <c r="K1" s="127" t="s">
        <v>109</v>
      </c>
      <c r="L1" s="142" t="s">
        <v>114</v>
      </c>
      <c r="M1" s="127" t="s">
        <v>110</v>
      </c>
      <c r="N1" s="321" t="s">
        <v>59</v>
      </c>
      <c r="O1" s="244" t="s">
        <v>31</v>
      </c>
      <c r="P1" s="250" t="s">
        <v>32</v>
      </c>
      <c r="Q1" s="250" t="s">
        <v>32</v>
      </c>
      <c r="R1" s="343" t="s">
        <v>38</v>
      </c>
      <c r="S1" s="364" t="s">
        <v>149</v>
      </c>
      <c r="T1" s="343"/>
      <c r="U1" s="343"/>
      <c r="V1" s="343" t="s">
        <v>107</v>
      </c>
      <c r="W1" s="343" t="s">
        <v>108</v>
      </c>
      <c r="X1" s="250" t="s">
        <v>30</v>
      </c>
      <c r="Y1" s="250" t="s">
        <v>27</v>
      </c>
      <c r="Z1" s="250" t="s">
        <v>28</v>
      </c>
      <c r="AA1" s="344" t="s">
        <v>29</v>
      </c>
      <c r="AB1" s="230"/>
      <c r="AC1" s="230"/>
      <c r="AD1" s="100"/>
    </row>
    <row r="2" spans="1:34" ht="32" hidden="1" customHeight="1" thickTop="1" thickBot="1">
      <c r="A2" s="95" t="s">
        <v>75</v>
      </c>
      <c r="B2" s="25">
        <f>VLOOKUP(A1,'MY STATS'!$B$29:$G$40,3)</f>
        <v>43221</v>
      </c>
      <c r="D2" s="45"/>
      <c r="E2" s="2" t="s">
        <v>19</v>
      </c>
      <c r="F2" s="95" t="s">
        <v>74</v>
      </c>
      <c r="G2" s="93" t="s">
        <v>61</v>
      </c>
      <c r="H2" s="64" t="s">
        <v>60</v>
      </c>
      <c r="I2" s="64"/>
      <c r="J2" s="64"/>
      <c r="K2" s="64"/>
      <c r="L2" s="64"/>
      <c r="M2" s="64"/>
      <c r="N2" s="322"/>
      <c r="O2" s="345"/>
      <c r="P2" s="230"/>
      <c r="Q2" s="230"/>
      <c r="R2" s="346">
        <f>'MY STATS'!A15</f>
        <v>1</v>
      </c>
      <c r="S2" s="346"/>
      <c r="T2" s="346"/>
      <c r="U2" s="346"/>
      <c r="V2" s="346"/>
      <c r="W2" s="346"/>
      <c r="X2" s="230"/>
      <c r="Y2" s="230"/>
      <c r="Z2" s="234"/>
      <c r="AA2" s="234"/>
      <c r="AB2" s="230"/>
      <c r="AC2" s="230"/>
      <c r="AD2" s="100"/>
    </row>
    <row r="3" spans="1:34" ht="17" hidden="1" customHeight="1" thickTop="1" thickBot="1">
      <c r="A3" s="96">
        <f>'MY STATS'!D41</f>
        <v>43466</v>
      </c>
      <c r="B3" s="25">
        <f>VLOOKUP(A1+1,'MY STATS'!$B$29:$G$41,3)-1</f>
        <v>43251</v>
      </c>
      <c r="C3" s="25">
        <f>VLOOKUP(A1,'MY STATS'!$B$29:$G$40,2)</f>
        <v>43220</v>
      </c>
      <c r="D3" s="46"/>
      <c r="E3" s="4">
        <f ca="1">TODAY()</f>
        <v>43138</v>
      </c>
      <c r="F3" s="65">
        <f>'MY STATS'!B$11</f>
        <v>587410.55929510726</v>
      </c>
      <c r="G3" s="65">
        <f>VLOOKUP(A1-1,'MY STATS'!B$28:J$40,9)</f>
        <v>0</v>
      </c>
      <c r="H3" s="66">
        <f>VLOOKUP($A$1-1,'MY STATS'!$B$28:$I$41,8)</f>
        <v>0</v>
      </c>
      <c r="I3" s="66"/>
      <c r="J3" s="66"/>
      <c r="K3" s="66"/>
      <c r="L3" s="65"/>
      <c r="M3" s="65"/>
      <c r="N3" s="323"/>
      <c r="O3" s="345"/>
      <c r="P3" s="230"/>
      <c r="Q3" s="230"/>
      <c r="R3" s="346"/>
      <c r="S3" s="346"/>
      <c r="T3" s="346"/>
      <c r="U3" s="346"/>
      <c r="V3" s="346"/>
      <c r="W3" s="346"/>
      <c r="X3" s="230"/>
      <c r="Y3" s="230"/>
      <c r="Z3" s="234"/>
      <c r="AA3" s="234"/>
      <c r="AB3" s="230"/>
      <c r="AC3" s="230"/>
      <c r="AD3" s="100"/>
    </row>
    <row r="4" spans="1:34" ht="14" hidden="1" customHeight="1" thickBot="1">
      <c r="A4" s="3"/>
      <c r="C4" s="37">
        <f>C3-1</f>
        <v>43219</v>
      </c>
      <c r="D4" s="3"/>
      <c r="O4" s="347"/>
      <c r="P4" s="260">
        <f t="shared" ref="P4:P11" si="0">H$56</f>
        <v>74324.164717431195</v>
      </c>
      <c r="Q4" s="169">
        <f>IF(R$2=3,P4,IF(R$2=2,P4*1.0936,IF(R$2=1,P4*0.000568181818*1.0936133,"")))</f>
        <v>46.182894897933686</v>
      </c>
      <c r="R4" s="246"/>
      <c r="S4" s="246"/>
      <c r="T4" s="246"/>
      <c r="U4" s="246"/>
      <c r="V4" s="246"/>
      <c r="W4" s="246"/>
      <c r="X4" s="260"/>
      <c r="Y4" s="260"/>
      <c r="Z4" s="259">
        <v>0</v>
      </c>
      <c r="AA4" s="234"/>
      <c r="AB4" s="230">
        <v>0</v>
      </c>
      <c r="AC4" s="230"/>
      <c r="AD4" s="100"/>
    </row>
    <row r="5" spans="1:34" ht="15.75" customHeight="1" thickTop="1">
      <c r="A5" s="26" t="s">
        <v>8</v>
      </c>
      <c r="B5" s="23">
        <f>IF(B$2&gt;C5,0,C5)</f>
        <v>0</v>
      </c>
      <c r="C5" s="37">
        <f>C3</f>
        <v>43220</v>
      </c>
      <c r="D5" s="24">
        <f t="shared" ref="D5:D51" ca="1" si="1">TODAY()-C5</f>
        <v>-82</v>
      </c>
      <c r="E5" s="115" t="str">
        <f>IF(B5=0,"","Monday")</f>
        <v/>
      </c>
      <c r="F5" s="55"/>
      <c r="G5" s="56"/>
      <c r="H5" s="56"/>
      <c r="I5" s="199"/>
      <c r="J5" s="56"/>
      <c r="K5" s="201" t="str">
        <f t="shared" ref="K5" si="2">IF(R5=0,"",IF(L5="","",J5))</f>
        <v/>
      </c>
      <c r="L5" s="56"/>
      <c r="M5" s="56" t="str">
        <f>IF(R5=0,"",IF(J5="","",L5))</f>
        <v/>
      </c>
      <c r="N5" s="324"/>
      <c r="O5" s="259" t="str">
        <f t="shared" ref="O5:O51" si="3">IF(B5=0,"",(F$3-G$3)/(A$3-B$2)+0.1)</f>
        <v/>
      </c>
      <c r="P5" s="260">
        <f t="shared" si="0"/>
        <v>74324.164717431195</v>
      </c>
      <c r="Q5" s="169">
        <f t="shared" ref="Q5:Q51" si="4">IF(R$2=3,P5,IF(R$2=2,P5*1.0936,IF(R$2=1,P5*0.000568181818*1.0936133,"")))</f>
        <v>46.182894897933686</v>
      </c>
      <c r="R5" s="169">
        <f>IF(R$2=3,H5+G5/1.0936133+F5/0.0006213712,IF(R$2=2,H5*1.0936133+G5+F5/0.0005681818,IF(R$2=1,H5*0.0005681818*1.0936133+G5*0.0005681818+F5,"")))</f>
        <v>0</v>
      </c>
      <c r="S5" s="368" t="str">
        <f>IF(R5=0,"",R5*IF(L5&gt;0,1,0))</f>
        <v/>
      </c>
      <c r="T5" s="169"/>
      <c r="U5" s="169"/>
      <c r="V5" s="170" t="str">
        <f t="shared" ref="V5:V11" si="5">IF(L5="","",IF(R5=0,"",IF(B5=0,"",IF($R$2=3,R5/L5*60/1000,IF($R$2=2,R5/L5*60/1760,IF($R$2=1,R5/L5*60,""))))))</f>
        <v/>
      </c>
      <c r="W5" s="170" t="str">
        <f t="shared" ref="W5:W11" si="6">IF(R5=0,"",IF(L5="","",V5*L5))</f>
        <v/>
      </c>
      <c r="X5" s="259">
        <f t="shared" ref="X5:Z11" si="7">F5+X4</f>
        <v>0</v>
      </c>
      <c r="Y5" s="259">
        <f t="shared" si="7"/>
        <v>0</v>
      </c>
      <c r="Z5" s="259">
        <f t="shared" si="7"/>
        <v>0</v>
      </c>
      <c r="AA5" s="348">
        <f t="shared" ref="AA5:AA51" si="8">Z5/1000+Y5/1093.6133+X5/0.621371192</f>
        <v>0</v>
      </c>
      <c r="AB5" s="349">
        <f>R5</f>
        <v>0</v>
      </c>
      <c r="AC5" s="234"/>
      <c r="AD5" s="120"/>
      <c r="AE5" s="8"/>
      <c r="AF5" s="8"/>
    </row>
    <row r="6" spans="1:34">
      <c r="A6" s="27"/>
      <c r="B6" s="5">
        <f t="shared" ref="B6:B11" si="9">IF(B$2&gt;C6,0,C6)</f>
        <v>43221</v>
      </c>
      <c r="C6" s="38">
        <f>C3+1</f>
        <v>43221</v>
      </c>
      <c r="D6" s="7">
        <f t="shared" ca="1" si="1"/>
        <v>-83</v>
      </c>
      <c r="E6" s="114" t="str">
        <f>IF(B6=0,"","Tuesday")</f>
        <v>Tuesday</v>
      </c>
      <c r="F6" s="55"/>
      <c r="G6" s="56"/>
      <c r="H6" s="56"/>
      <c r="I6" s="200"/>
      <c r="J6" s="56"/>
      <c r="K6" s="201" t="str">
        <f>IF(R6=0,"",IF(L6="","",J6))</f>
        <v/>
      </c>
      <c r="L6" s="56"/>
      <c r="M6" s="56" t="str">
        <f t="shared" ref="M6:M11" si="10">IF(R6=0,"",IF(J6="","",L6))</f>
        <v/>
      </c>
      <c r="N6" s="324"/>
      <c r="O6" s="259">
        <f t="shared" si="3"/>
        <v>2397.6941195718664</v>
      </c>
      <c r="P6" s="260">
        <f t="shared" si="0"/>
        <v>74324.164717431195</v>
      </c>
      <c r="Q6" s="169">
        <f t="shared" si="4"/>
        <v>46.182894897933686</v>
      </c>
      <c r="R6" s="169">
        <f t="shared" ref="R6:R11" si="11">IF(R$2=3,H6+G6/1.0936133+F6/0.0006213712,IF(R$2=2,H6*1.0936133+G6+F6/0.0005681818,IF(R$2=1,H6*0.0005681818*1.0936133+G6*0.0005681818+F6,"")))</f>
        <v>0</v>
      </c>
      <c r="S6" s="368" t="str">
        <f t="shared" ref="S6:S51" si="12">IF(R6=0,"",R6*IF(L6&gt;0,1,0))</f>
        <v/>
      </c>
      <c r="T6" s="169"/>
      <c r="U6" s="169"/>
      <c r="V6" s="170" t="str">
        <f t="shared" si="5"/>
        <v/>
      </c>
      <c r="W6" s="170" t="str">
        <f t="shared" si="6"/>
        <v/>
      </c>
      <c r="X6" s="259">
        <f t="shared" si="7"/>
        <v>0</v>
      </c>
      <c r="Y6" s="259">
        <f t="shared" si="7"/>
        <v>0</v>
      </c>
      <c r="Z6" s="259">
        <f t="shared" si="7"/>
        <v>0</v>
      </c>
      <c r="AA6" s="348">
        <f t="shared" si="8"/>
        <v>0</v>
      </c>
      <c r="AB6" s="274">
        <f t="shared" ref="AB6:AB51" si="13">AB5+R6</f>
        <v>0</v>
      </c>
      <c r="AC6" s="230"/>
      <c r="AD6" s="100"/>
      <c r="AH6" s="10"/>
    </row>
    <row r="7" spans="1:34">
      <c r="A7" s="27"/>
      <c r="B7" s="5">
        <f t="shared" si="9"/>
        <v>43222</v>
      </c>
      <c r="C7" s="38">
        <f>C3+2</f>
        <v>43222</v>
      </c>
      <c r="D7" s="7">
        <f t="shared" ca="1" si="1"/>
        <v>-84</v>
      </c>
      <c r="E7" s="114" t="str">
        <f>IF(B7=0,"","Wednesday")</f>
        <v>Wednesday</v>
      </c>
      <c r="F7" s="55"/>
      <c r="G7" s="56"/>
      <c r="H7" s="56"/>
      <c r="I7" s="200"/>
      <c r="J7" s="56"/>
      <c r="K7" s="201" t="str">
        <f t="shared" ref="K7:K11" si="14">IF(R7=0,"",IF(L7="","",J7))</f>
        <v/>
      </c>
      <c r="L7" s="56"/>
      <c r="M7" s="56" t="str">
        <f t="shared" si="10"/>
        <v/>
      </c>
      <c r="N7" s="325"/>
      <c r="O7" s="259">
        <f t="shared" si="3"/>
        <v>2397.6941195718664</v>
      </c>
      <c r="P7" s="260">
        <f t="shared" si="0"/>
        <v>74324.164717431195</v>
      </c>
      <c r="Q7" s="169">
        <f t="shared" si="4"/>
        <v>46.182894897933686</v>
      </c>
      <c r="R7" s="169">
        <f t="shared" si="11"/>
        <v>0</v>
      </c>
      <c r="S7" s="368" t="str">
        <f t="shared" si="12"/>
        <v/>
      </c>
      <c r="T7" s="169"/>
      <c r="U7" s="169"/>
      <c r="V7" s="170" t="str">
        <f t="shared" si="5"/>
        <v/>
      </c>
      <c r="W7" s="170" t="str">
        <f t="shared" si="6"/>
        <v/>
      </c>
      <c r="X7" s="259">
        <f t="shared" si="7"/>
        <v>0</v>
      </c>
      <c r="Y7" s="259">
        <f t="shared" si="7"/>
        <v>0</v>
      </c>
      <c r="Z7" s="259">
        <f t="shared" si="7"/>
        <v>0</v>
      </c>
      <c r="AA7" s="348">
        <f t="shared" si="8"/>
        <v>0</v>
      </c>
      <c r="AB7" s="274">
        <f t="shared" si="13"/>
        <v>0</v>
      </c>
      <c r="AC7" s="230"/>
      <c r="AD7" s="100"/>
    </row>
    <row r="8" spans="1:34">
      <c r="A8" s="27"/>
      <c r="B8" s="5">
        <f t="shared" si="9"/>
        <v>43223</v>
      </c>
      <c r="C8" s="38">
        <f>C3+3</f>
        <v>43223</v>
      </c>
      <c r="D8" s="7">
        <f t="shared" ca="1" si="1"/>
        <v>-85</v>
      </c>
      <c r="E8" s="114" t="str">
        <f>IF(B8=0,"","Thursday")</f>
        <v>Thursday</v>
      </c>
      <c r="F8" s="55"/>
      <c r="G8" s="56"/>
      <c r="H8" s="56"/>
      <c r="I8" s="200"/>
      <c r="J8" s="56"/>
      <c r="K8" s="201" t="str">
        <f t="shared" si="14"/>
        <v/>
      </c>
      <c r="L8" s="56"/>
      <c r="M8" s="56" t="str">
        <f t="shared" si="10"/>
        <v/>
      </c>
      <c r="N8" s="325"/>
      <c r="O8" s="259">
        <f t="shared" si="3"/>
        <v>2397.6941195718664</v>
      </c>
      <c r="P8" s="260">
        <f t="shared" si="0"/>
        <v>74324.164717431195</v>
      </c>
      <c r="Q8" s="169">
        <f t="shared" si="4"/>
        <v>46.182894897933686</v>
      </c>
      <c r="R8" s="169">
        <f t="shared" si="11"/>
        <v>0</v>
      </c>
      <c r="S8" s="368" t="str">
        <f t="shared" si="12"/>
        <v/>
      </c>
      <c r="T8" s="169"/>
      <c r="U8" s="169"/>
      <c r="V8" s="170" t="str">
        <f t="shared" si="5"/>
        <v/>
      </c>
      <c r="W8" s="170" t="str">
        <f t="shared" si="6"/>
        <v/>
      </c>
      <c r="X8" s="259">
        <f t="shared" si="7"/>
        <v>0</v>
      </c>
      <c r="Y8" s="259">
        <f t="shared" si="7"/>
        <v>0</v>
      </c>
      <c r="Z8" s="259">
        <f t="shared" si="7"/>
        <v>0</v>
      </c>
      <c r="AA8" s="348">
        <f t="shared" si="8"/>
        <v>0</v>
      </c>
      <c r="AB8" s="274">
        <f t="shared" si="13"/>
        <v>0</v>
      </c>
      <c r="AC8" s="230"/>
      <c r="AD8" s="100"/>
    </row>
    <row r="9" spans="1:34">
      <c r="A9" s="27"/>
      <c r="B9" s="5">
        <f t="shared" si="9"/>
        <v>43224</v>
      </c>
      <c r="C9" s="38">
        <f>C3+4</f>
        <v>43224</v>
      </c>
      <c r="D9" s="7">
        <f t="shared" ca="1" si="1"/>
        <v>-86</v>
      </c>
      <c r="E9" s="114" t="str">
        <f>IF(B9=0,"","Friday")</f>
        <v>Friday</v>
      </c>
      <c r="F9" s="55"/>
      <c r="G9" s="56"/>
      <c r="H9" s="56"/>
      <c r="I9" s="200"/>
      <c r="J9" s="56"/>
      <c r="K9" s="201" t="str">
        <f t="shared" si="14"/>
        <v/>
      </c>
      <c r="L9" s="56"/>
      <c r="M9" s="56" t="str">
        <f t="shared" si="10"/>
        <v/>
      </c>
      <c r="N9" s="324"/>
      <c r="O9" s="259">
        <f t="shared" si="3"/>
        <v>2397.6941195718664</v>
      </c>
      <c r="P9" s="260">
        <f t="shared" si="0"/>
        <v>74324.164717431195</v>
      </c>
      <c r="Q9" s="169">
        <f t="shared" si="4"/>
        <v>46.182894897933686</v>
      </c>
      <c r="R9" s="169">
        <f t="shared" si="11"/>
        <v>0</v>
      </c>
      <c r="S9" s="368" t="str">
        <f t="shared" si="12"/>
        <v/>
      </c>
      <c r="T9" s="169"/>
      <c r="U9" s="169"/>
      <c r="V9" s="170" t="str">
        <f t="shared" si="5"/>
        <v/>
      </c>
      <c r="W9" s="170" t="str">
        <f t="shared" si="6"/>
        <v/>
      </c>
      <c r="X9" s="259">
        <f t="shared" si="7"/>
        <v>0</v>
      </c>
      <c r="Y9" s="259">
        <f t="shared" si="7"/>
        <v>0</v>
      </c>
      <c r="Z9" s="259">
        <f t="shared" si="7"/>
        <v>0</v>
      </c>
      <c r="AA9" s="348">
        <f t="shared" si="8"/>
        <v>0</v>
      </c>
      <c r="AB9" s="274">
        <f t="shared" si="13"/>
        <v>0</v>
      </c>
      <c r="AC9" s="230"/>
      <c r="AD9" s="100"/>
    </row>
    <row r="10" spans="1:34">
      <c r="A10" s="27"/>
      <c r="B10" s="5">
        <f t="shared" si="9"/>
        <v>43225</v>
      </c>
      <c r="C10" s="38">
        <f>C3+5</f>
        <v>43225</v>
      </c>
      <c r="D10" s="7">
        <f t="shared" ca="1" si="1"/>
        <v>-87</v>
      </c>
      <c r="E10" s="114" t="str">
        <f>IF(B10=0,"","Saturday")</f>
        <v>Saturday</v>
      </c>
      <c r="F10" s="55"/>
      <c r="G10" s="56"/>
      <c r="H10" s="56"/>
      <c r="I10" s="200"/>
      <c r="J10" s="56"/>
      <c r="K10" s="201" t="str">
        <f t="shared" si="14"/>
        <v/>
      </c>
      <c r="L10" s="56"/>
      <c r="M10" s="56" t="str">
        <f t="shared" si="10"/>
        <v/>
      </c>
      <c r="N10" s="324"/>
      <c r="O10" s="259">
        <f t="shared" si="3"/>
        <v>2397.6941195718664</v>
      </c>
      <c r="P10" s="260">
        <f t="shared" si="0"/>
        <v>74324.164717431195</v>
      </c>
      <c r="Q10" s="169">
        <f t="shared" si="4"/>
        <v>46.182894897933686</v>
      </c>
      <c r="R10" s="169">
        <f t="shared" si="11"/>
        <v>0</v>
      </c>
      <c r="S10" s="368" t="str">
        <f t="shared" si="12"/>
        <v/>
      </c>
      <c r="T10" s="169"/>
      <c r="U10" s="169"/>
      <c r="V10" s="170" t="str">
        <f t="shared" si="5"/>
        <v/>
      </c>
      <c r="W10" s="170" t="str">
        <f t="shared" si="6"/>
        <v/>
      </c>
      <c r="X10" s="259">
        <f t="shared" si="7"/>
        <v>0</v>
      </c>
      <c r="Y10" s="259">
        <f t="shared" si="7"/>
        <v>0</v>
      </c>
      <c r="Z10" s="259">
        <f t="shared" si="7"/>
        <v>0</v>
      </c>
      <c r="AA10" s="348">
        <f t="shared" si="8"/>
        <v>0</v>
      </c>
      <c r="AB10" s="274">
        <f t="shared" si="13"/>
        <v>0</v>
      </c>
      <c r="AC10" s="230"/>
      <c r="AD10" s="100"/>
    </row>
    <row r="11" spans="1:34" ht="15.75" customHeight="1" thickBot="1">
      <c r="A11" s="27"/>
      <c r="B11" s="53">
        <f t="shared" si="9"/>
        <v>43226</v>
      </c>
      <c r="C11" s="41">
        <f>C3+6</f>
        <v>43226</v>
      </c>
      <c r="D11" s="54">
        <f t="shared" ca="1" si="1"/>
        <v>-88</v>
      </c>
      <c r="E11" s="117" t="str">
        <f>IF(B11=0,"","Sunday")</f>
        <v>Sunday</v>
      </c>
      <c r="F11" s="55"/>
      <c r="G11" s="56"/>
      <c r="H11" s="56"/>
      <c r="I11" s="200"/>
      <c r="J11" s="56"/>
      <c r="K11" s="201" t="str">
        <f t="shared" si="14"/>
        <v/>
      </c>
      <c r="L11" s="56"/>
      <c r="M11" s="56" t="str">
        <f t="shared" si="10"/>
        <v/>
      </c>
      <c r="N11" s="326"/>
      <c r="O11" s="259">
        <f t="shared" si="3"/>
        <v>2397.6941195718664</v>
      </c>
      <c r="P11" s="260">
        <f t="shared" si="0"/>
        <v>74324.164717431195</v>
      </c>
      <c r="Q11" s="169">
        <f t="shared" si="4"/>
        <v>46.182894897933686</v>
      </c>
      <c r="R11" s="169">
        <f t="shared" si="11"/>
        <v>0</v>
      </c>
      <c r="S11" s="368" t="str">
        <f t="shared" si="12"/>
        <v/>
      </c>
      <c r="T11" s="169"/>
      <c r="U11" s="169"/>
      <c r="V11" s="170" t="str">
        <f t="shared" si="5"/>
        <v/>
      </c>
      <c r="W11" s="170" t="str">
        <f t="shared" si="6"/>
        <v/>
      </c>
      <c r="X11" s="259">
        <f t="shared" si="7"/>
        <v>0</v>
      </c>
      <c r="Y11" s="259">
        <f t="shared" si="7"/>
        <v>0</v>
      </c>
      <c r="Z11" s="259">
        <f t="shared" si="7"/>
        <v>0</v>
      </c>
      <c r="AA11" s="348">
        <f t="shared" si="8"/>
        <v>0</v>
      </c>
      <c r="AB11" s="274">
        <f t="shared" si="13"/>
        <v>0</v>
      </c>
      <c r="AC11" s="230"/>
      <c r="AD11" s="100"/>
    </row>
    <row r="12" spans="1:34" ht="16" thickTop="1">
      <c r="A12" s="29"/>
      <c r="B12" s="16"/>
      <c r="C12" s="42"/>
      <c r="D12" s="60">
        <f ca="1">TODAY()-C12</f>
        <v>43138</v>
      </c>
      <c r="E12" s="113" t="s">
        <v>76</v>
      </c>
      <c r="F12" s="59">
        <f ca="1">G12*0.000568181818</f>
        <v>0</v>
      </c>
      <c r="G12" s="19">
        <f ca="1">H12*1.0936113</f>
        <v>0</v>
      </c>
      <c r="H12" s="129">
        <f ca="1">IF(TODAY()&gt;=B5,AA11*1000,-2E-55)</f>
        <v>0</v>
      </c>
      <c r="I12" s="135"/>
      <c r="J12" s="443" t="s">
        <v>121</v>
      </c>
      <c r="K12" s="444"/>
      <c r="L12" s="444"/>
      <c r="M12" s="444"/>
      <c r="N12" s="444"/>
      <c r="O12" s="259" t="str">
        <f t="shared" si="3"/>
        <v/>
      </c>
      <c r="P12" s="260"/>
      <c r="Q12" s="169">
        <f t="shared" si="4"/>
        <v>0</v>
      </c>
      <c r="R12" s="350"/>
      <c r="S12" s="368" t="str">
        <f t="shared" si="12"/>
        <v/>
      </c>
      <c r="T12" s="350"/>
      <c r="U12" s="350"/>
      <c r="V12" s="350"/>
      <c r="W12" s="350"/>
      <c r="X12" s="260"/>
      <c r="Y12" s="260"/>
      <c r="Z12" s="234"/>
      <c r="AA12" s="348">
        <f t="shared" si="8"/>
        <v>0</v>
      </c>
      <c r="AB12" s="274">
        <f t="shared" si="13"/>
        <v>0</v>
      </c>
      <c r="AC12" s="230"/>
      <c r="AD12" s="100"/>
    </row>
    <row r="13" spans="1:34" ht="16" thickBot="1">
      <c r="A13" s="28"/>
      <c r="B13" s="17"/>
      <c r="C13" s="39"/>
      <c r="D13" s="61">
        <f ca="1">TODAY()-C13</f>
        <v>43138</v>
      </c>
      <c r="E13" s="116" t="s">
        <v>33</v>
      </c>
      <c r="F13" s="62">
        <f>G13*0.0005681818</f>
        <v>8.9391317018137233</v>
      </c>
      <c r="G13" s="63">
        <f>H13*1.0936113</f>
        <v>15732.872298644066</v>
      </c>
      <c r="H13" s="130">
        <f>SUM($O5:$O11)</f>
        <v>14386.164717431198</v>
      </c>
      <c r="I13" s="136"/>
      <c r="J13" s="445" t="str">
        <f>IF(R$2=1,"MILES &amp; mph",IF(R$2=2,"YARDS &amp; mph",IF(R$2=3,"METRES &amp; km/h","????")))</f>
        <v>MILES &amp; mph</v>
      </c>
      <c r="K13" s="446"/>
      <c r="L13" s="446"/>
      <c r="M13" s="446"/>
      <c r="N13" s="446"/>
      <c r="O13" s="259" t="str">
        <f t="shared" si="3"/>
        <v/>
      </c>
      <c r="P13" s="260"/>
      <c r="Q13" s="169">
        <f t="shared" si="4"/>
        <v>0</v>
      </c>
      <c r="R13" s="351"/>
      <c r="S13" s="368" t="str">
        <f t="shared" si="12"/>
        <v/>
      </c>
      <c r="T13" s="351"/>
      <c r="U13" s="351"/>
      <c r="V13" s="351"/>
      <c r="W13" s="351"/>
      <c r="X13" s="260"/>
      <c r="Y13" s="260"/>
      <c r="Z13" s="234"/>
      <c r="AA13" s="348">
        <f t="shared" si="8"/>
        <v>0</v>
      </c>
      <c r="AB13" s="274">
        <f t="shared" si="13"/>
        <v>0</v>
      </c>
      <c r="AC13" s="230"/>
      <c r="AD13" s="100"/>
    </row>
    <row r="14" spans="1:34" ht="16" thickTop="1">
      <c r="A14" s="1" t="s">
        <v>9</v>
      </c>
      <c r="B14" s="57">
        <f t="shared" ref="B14:B20" si="15">IF(B$2&gt;C14,0,C14)</f>
        <v>43227</v>
      </c>
      <c r="C14" s="40">
        <f>C11+1</f>
        <v>43227</v>
      </c>
      <c r="D14" s="22">
        <f t="shared" ca="1" si="1"/>
        <v>-89</v>
      </c>
      <c r="E14" s="118" t="s">
        <v>1</v>
      </c>
      <c r="F14" s="55"/>
      <c r="G14" s="56"/>
      <c r="H14" s="56"/>
      <c r="I14" s="136"/>
      <c r="J14" s="128"/>
      <c r="K14" s="201" t="str">
        <f t="shared" ref="K14" si="16">IF(R14=0,"",IF(L14="","",J14))</f>
        <v/>
      </c>
      <c r="L14" s="128"/>
      <c r="M14" s="56" t="str">
        <f>IF(R14=0,"",IF(J14="","",L14))</f>
        <v/>
      </c>
      <c r="N14" s="327"/>
      <c r="O14" s="259">
        <f t="shared" si="3"/>
        <v>2397.6941195718664</v>
      </c>
      <c r="P14" s="260">
        <f t="shared" ref="P14:P20" si="17">H$56</f>
        <v>74324.164717431195</v>
      </c>
      <c r="Q14" s="169">
        <f t="shared" si="4"/>
        <v>46.182894897933686</v>
      </c>
      <c r="R14" s="169">
        <f>IF(R$2=3,H14+G14/1.0936133+F14/0.0006213712,IF(R$2=2,H14*1.0936133+G14+F14/0.0005681818,IF(R$2=1,H14*0.0005681818*1.0936133+G14*0.0005681818+F14,"")))</f>
        <v>0</v>
      </c>
      <c r="S14" s="368" t="str">
        <f t="shared" si="12"/>
        <v/>
      </c>
      <c r="T14" s="169"/>
      <c r="U14" s="169"/>
      <c r="V14" s="170" t="str">
        <f t="shared" ref="V14:V20" si="18">IF(L14="","",IF(R14=0,"",IF(B14=0,"",IF($R$2=3,R14/L14*60/1000,IF($R$2=2,R14/L14*60/1760,IF($R$2=1,R14/L14*60,""))))))</f>
        <v/>
      </c>
      <c r="W14" s="170" t="str">
        <f t="shared" ref="W14:W20" si="19">IF(R14=0,"",IF(L14="","",V14*L14))</f>
        <v/>
      </c>
      <c r="X14" s="259">
        <f>F14+X11</f>
        <v>0</v>
      </c>
      <c r="Y14" s="259">
        <f>G14+Y11</f>
        <v>0</v>
      </c>
      <c r="Z14" s="259">
        <f>H14+Z11</f>
        <v>0</v>
      </c>
      <c r="AA14" s="348">
        <f t="shared" si="8"/>
        <v>0</v>
      </c>
      <c r="AB14" s="274">
        <f t="shared" si="13"/>
        <v>0</v>
      </c>
      <c r="AC14" s="230"/>
      <c r="AD14" s="100"/>
    </row>
    <row r="15" spans="1:34">
      <c r="A15" s="1"/>
      <c r="B15" s="5">
        <f t="shared" si="15"/>
        <v>43228</v>
      </c>
      <c r="C15" s="38">
        <f t="shared" ref="C15:C20" si="20">C14+1</f>
        <v>43228</v>
      </c>
      <c r="D15" s="7">
        <f t="shared" ca="1" si="1"/>
        <v>-90</v>
      </c>
      <c r="E15" s="114" t="s">
        <v>2</v>
      </c>
      <c r="F15" s="55"/>
      <c r="G15" s="56"/>
      <c r="H15" s="56"/>
      <c r="I15" s="200"/>
      <c r="J15" s="56"/>
      <c r="K15" s="201" t="str">
        <f>IF(R15=0,"",IF(L15="","",J15))</f>
        <v/>
      </c>
      <c r="L15" s="56"/>
      <c r="M15" s="56" t="str">
        <f t="shared" ref="M15:M20" si="21">IF(R15=0,"",IF(J15="","",L15))</f>
        <v/>
      </c>
      <c r="N15" s="328"/>
      <c r="O15" s="259">
        <f t="shared" si="3"/>
        <v>2397.6941195718664</v>
      </c>
      <c r="P15" s="260">
        <f t="shared" si="17"/>
        <v>74324.164717431195</v>
      </c>
      <c r="Q15" s="169">
        <f t="shared" si="4"/>
        <v>46.182894897933686</v>
      </c>
      <c r="R15" s="169">
        <f t="shared" ref="R15:R20" si="22">IF(R$2=3,H15+G15/1.0936133+F15/0.0006213712,IF(R$2=2,H15*1.0936133+G15+F15/0.0005681818,IF(R$2=1,H15*0.0005681818*1.0936133+G15*0.0005681818+F15,"")))</f>
        <v>0</v>
      </c>
      <c r="S15" s="368" t="str">
        <f t="shared" si="12"/>
        <v/>
      </c>
      <c r="T15" s="169"/>
      <c r="U15" s="169"/>
      <c r="V15" s="170" t="str">
        <f t="shared" si="18"/>
        <v/>
      </c>
      <c r="W15" s="170" t="str">
        <f t="shared" si="19"/>
        <v/>
      </c>
      <c r="X15" s="259">
        <f t="shared" ref="X15:Z20" si="23">F15+X14</f>
        <v>0</v>
      </c>
      <c r="Y15" s="259">
        <f t="shared" si="23"/>
        <v>0</v>
      </c>
      <c r="Z15" s="259">
        <f t="shared" si="23"/>
        <v>0</v>
      </c>
      <c r="AA15" s="348">
        <f t="shared" si="8"/>
        <v>0</v>
      </c>
      <c r="AB15" s="274">
        <f t="shared" si="13"/>
        <v>0</v>
      </c>
      <c r="AC15" s="230"/>
      <c r="AD15" s="100"/>
    </row>
    <row r="16" spans="1:34">
      <c r="A16" s="1"/>
      <c r="B16" s="5">
        <f t="shared" si="15"/>
        <v>43229</v>
      </c>
      <c r="C16" s="38">
        <f t="shared" si="20"/>
        <v>43229</v>
      </c>
      <c r="D16" s="7">
        <f t="shared" ca="1" si="1"/>
        <v>-91</v>
      </c>
      <c r="E16" s="114" t="s">
        <v>3</v>
      </c>
      <c r="F16" s="55"/>
      <c r="G16" s="56"/>
      <c r="H16" s="56"/>
      <c r="I16" s="200"/>
      <c r="J16" s="56"/>
      <c r="K16" s="201" t="str">
        <f t="shared" ref="K16:K20" si="24">IF(R16=0,"",IF(L16="","",J16))</f>
        <v/>
      </c>
      <c r="L16" s="56"/>
      <c r="M16" s="56" t="str">
        <f t="shared" si="21"/>
        <v/>
      </c>
      <c r="N16" s="328"/>
      <c r="O16" s="259">
        <f t="shared" si="3"/>
        <v>2397.6941195718664</v>
      </c>
      <c r="P16" s="260">
        <f t="shared" si="17"/>
        <v>74324.164717431195</v>
      </c>
      <c r="Q16" s="169">
        <f t="shared" si="4"/>
        <v>46.182894897933686</v>
      </c>
      <c r="R16" s="169">
        <f t="shared" si="22"/>
        <v>0</v>
      </c>
      <c r="S16" s="368" t="str">
        <f t="shared" si="12"/>
        <v/>
      </c>
      <c r="T16" s="169"/>
      <c r="U16" s="169"/>
      <c r="V16" s="170" t="str">
        <f t="shared" si="18"/>
        <v/>
      </c>
      <c r="W16" s="170" t="str">
        <f t="shared" si="19"/>
        <v/>
      </c>
      <c r="X16" s="259">
        <f t="shared" si="23"/>
        <v>0</v>
      </c>
      <c r="Y16" s="259">
        <f t="shared" si="23"/>
        <v>0</v>
      </c>
      <c r="Z16" s="259">
        <f t="shared" si="23"/>
        <v>0</v>
      </c>
      <c r="AA16" s="348">
        <f t="shared" si="8"/>
        <v>0</v>
      </c>
      <c r="AB16" s="274">
        <f t="shared" si="13"/>
        <v>0</v>
      </c>
      <c r="AC16" s="230"/>
      <c r="AD16" s="100"/>
    </row>
    <row r="17" spans="1:30">
      <c r="A17" s="1"/>
      <c r="B17" s="5">
        <f t="shared" si="15"/>
        <v>43230</v>
      </c>
      <c r="C17" s="38">
        <f t="shared" si="20"/>
        <v>43230</v>
      </c>
      <c r="D17" s="7">
        <f t="shared" ca="1" si="1"/>
        <v>-92</v>
      </c>
      <c r="E17" s="114" t="s">
        <v>4</v>
      </c>
      <c r="F17" s="55"/>
      <c r="G17" s="56"/>
      <c r="H17" s="56"/>
      <c r="I17" s="200"/>
      <c r="J17" s="56"/>
      <c r="K17" s="201" t="str">
        <f t="shared" si="24"/>
        <v/>
      </c>
      <c r="L17" s="56"/>
      <c r="M17" s="56" t="str">
        <f t="shared" si="21"/>
        <v/>
      </c>
      <c r="N17" s="328"/>
      <c r="O17" s="259">
        <f t="shared" si="3"/>
        <v>2397.6941195718664</v>
      </c>
      <c r="P17" s="260">
        <f t="shared" si="17"/>
        <v>74324.164717431195</v>
      </c>
      <c r="Q17" s="169">
        <f t="shared" si="4"/>
        <v>46.182894897933686</v>
      </c>
      <c r="R17" s="169">
        <f t="shared" si="22"/>
        <v>0</v>
      </c>
      <c r="S17" s="368" t="str">
        <f t="shared" si="12"/>
        <v/>
      </c>
      <c r="T17" s="169"/>
      <c r="U17" s="169"/>
      <c r="V17" s="170" t="str">
        <f t="shared" si="18"/>
        <v/>
      </c>
      <c r="W17" s="170" t="str">
        <f t="shared" si="19"/>
        <v/>
      </c>
      <c r="X17" s="259">
        <f t="shared" si="23"/>
        <v>0</v>
      </c>
      <c r="Y17" s="259">
        <f t="shared" si="23"/>
        <v>0</v>
      </c>
      <c r="Z17" s="259">
        <f t="shared" si="23"/>
        <v>0</v>
      </c>
      <c r="AA17" s="348">
        <f t="shared" si="8"/>
        <v>0</v>
      </c>
      <c r="AB17" s="274">
        <f t="shared" si="13"/>
        <v>0</v>
      </c>
      <c r="AC17" s="230"/>
      <c r="AD17" s="100"/>
    </row>
    <row r="18" spans="1:30">
      <c r="A18" s="1"/>
      <c r="B18" s="5">
        <f t="shared" si="15"/>
        <v>43231</v>
      </c>
      <c r="C18" s="38">
        <f t="shared" si="20"/>
        <v>43231</v>
      </c>
      <c r="D18" s="7">
        <f t="shared" ca="1" si="1"/>
        <v>-93</v>
      </c>
      <c r="E18" s="114" t="s">
        <v>5</v>
      </c>
      <c r="F18" s="55"/>
      <c r="G18" s="56"/>
      <c r="H18" s="56"/>
      <c r="I18" s="200"/>
      <c r="J18" s="56"/>
      <c r="K18" s="201" t="str">
        <f t="shared" si="24"/>
        <v/>
      </c>
      <c r="L18" s="56"/>
      <c r="M18" s="56" t="str">
        <f t="shared" si="21"/>
        <v/>
      </c>
      <c r="N18" s="324"/>
      <c r="O18" s="259">
        <f t="shared" si="3"/>
        <v>2397.6941195718664</v>
      </c>
      <c r="P18" s="260">
        <f t="shared" si="17"/>
        <v>74324.164717431195</v>
      </c>
      <c r="Q18" s="169">
        <f t="shared" si="4"/>
        <v>46.182894897933686</v>
      </c>
      <c r="R18" s="169">
        <f t="shared" si="22"/>
        <v>0</v>
      </c>
      <c r="S18" s="368" t="str">
        <f t="shared" si="12"/>
        <v/>
      </c>
      <c r="T18" s="169"/>
      <c r="U18" s="169"/>
      <c r="V18" s="170" t="str">
        <f t="shared" si="18"/>
        <v/>
      </c>
      <c r="W18" s="170" t="str">
        <f t="shared" si="19"/>
        <v/>
      </c>
      <c r="X18" s="259">
        <f t="shared" si="23"/>
        <v>0</v>
      </c>
      <c r="Y18" s="259">
        <f t="shared" si="23"/>
        <v>0</v>
      </c>
      <c r="Z18" s="259">
        <f t="shared" si="23"/>
        <v>0</v>
      </c>
      <c r="AA18" s="348">
        <f t="shared" si="8"/>
        <v>0</v>
      </c>
      <c r="AB18" s="274">
        <f t="shared" si="13"/>
        <v>0</v>
      </c>
      <c r="AC18" s="230"/>
      <c r="AD18" s="100"/>
    </row>
    <row r="19" spans="1:30">
      <c r="A19" s="1"/>
      <c r="B19" s="5">
        <f t="shared" si="15"/>
        <v>43232</v>
      </c>
      <c r="C19" s="38">
        <f t="shared" si="20"/>
        <v>43232</v>
      </c>
      <c r="D19" s="7">
        <f t="shared" ca="1" si="1"/>
        <v>-94</v>
      </c>
      <c r="E19" s="114" t="s">
        <v>6</v>
      </c>
      <c r="F19" s="55"/>
      <c r="G19" s="56"/>
      <c r="H19" s="56"/>
      <c r="I19" s="200"/>
      <c r="J19" s="56"/>
      <c r="K19" s="201" t="str">
        <f t="shared" si="24"/>
        <v/>
      </c>
      <c r="L19" s="56"/>
      <c r="M19" s="56" t="str">
        <f t="shared" si="21"/>
        <v/>
      </c>
      <c r="N19" s="324"/>
      <c r="O19" s="259">
        <f t="shared" si="3"/>
        <v>2397.6941195718664</v>
      </c>
      <c r="P19" s="260">
        <f t="shared" si="17"/>
        <v>74324.164717431195</v>
      </c>
      <c r="Q19" s="169">
        <f t="shared" si="4"/>
        <v>46.182894897933686</v>
      </c>
      <c r="R19" s="169">
        <f t="shared" si="22"/>
        <v>0</v>
      </c>
      <c r="S19" s="368" t="str">
        <f t="shared" si="12"/>
        <v/>
      </c>
      <c r="T19" s="169"/>
      <c r="U19" s="169"/>
      <c r="V19" s="170" t="str">
        <f t="shared" si="18"/>
        <v/>
      </c>
      <c r="W19" s="170" t="str">
        <f t="shared" si="19"/>
        <v/>
      </c>
      <c r="X19" s="259">
        <f t="shared" si="23"/>
        <v>0</v>
      </c>
      <c r="Y19" s="259">
        <f t="shared" si="23"/>
        <v>0</v>
      </c>
      <c r="Z19" s="259">
        <f t="shared" si="23"/>
        <v>0</v>
      </c>
      <c r="AA19" s="348">
        <f t="shared" si="8"/>
        <v>0</v>
      </c>
      <c r="AB19" s="274">
        <f t="shared" si="13"/>
        <v>0</v>
      </c>
      <c r="AC19" s="230"/>
      <c r="AD19" s="100"/>
    </row>
    <row r="20" spans="1:30" ht="16" thickBot="1">
      <c r="A20" s="1"/>
      <c r="B20" s="53">
        <f t="shared" si="15"/>
        <v>43233</v>
      </c>
      <c r="C20" s="41">
        <f t="shared" si="20"/>
        <v>43233</v>
      </c>
      <c r="D20" s="54">
        <f t="shared" ca="1" si="1"/>
        <v>-95</v>
      </c>
      <c r="E20" s="117" t="s">
        <v>7</v>
      </c>
      <c r="F20" s="55"/>
      <c r="G20" s="56"/>
      <c r="H20" s="56"/>
      <c r="I20" s="200"/>
      <c r="J20" s="56"/>
      <c r="K20" s="201" t="str">
        <f t="shared" si="24"/>
        <v/>
      </c>
      <c r="L20" s="56"/>
      <c r="M20" s="56" t="str">
        <f t="shared" si="21"/>
        <v/>
      </c>
      <c r="N20" s="329"/>
      <c r="O20" s="259">
        <f t="shared" si="3"/>
        <v>2397.6941195718664</v>
      </c>
      <c r="P20" s="260">
        <f t="shared" si="17"/>
        <v>74324.164717431195</v>
      </c>
      <c r="Q20" s="169">
        <f t="shared" si="4"/>
        <v>46.182894897933686</v>
      </c>
      <c r="R20" s="169">
        <f t="shared" si="22"/>
        <v>0</v>
      </c>
      <c r="S20" s="368" t="str">
        <f t="shared" si="12"/>
        <v/>
      </c>
      <c r="T20" s="169"/>
      <c r="U20" s="169"/>
      <c r="V20" s="170" t="str">
        <f t="shared" si="18"/>
        <v/>
      </c>
      <c r="W20" s="170" t="str">
        <f t="shared" si="19"/>
        <v/>
      </c>
      <c r="X20" s="259">
        <f t="shared" si="23"/>
        <v>0</v>
      </c>
      <c r="Y20" s="259">
        <f t="shared" si="23"/>
        <v>0</v>
      </c>
      <c r="Z20" s="259">
        <f t="shared" si="23"/>
        <v>0</v>
      </c>
      <c r="AA20" s="348">
        <f t="shared" si="8"/>
        <v>0</v>
      </c>
      <c r="AB20" s="274">
        <f t="shared" si="13"/>
        <v>0</v>
      </c>
      <c r="AC20" s="230"/>
      <c r="AD20" s="100"/>
    </row>
    <row r="21" spans="1:30" ht="16" thickTop="1">
      <c r="A21" s="29"/>
      <c r="B21" s="16"/>
      <c r="C21" s="42"/>
      <c r="D21" s="60">
        <f ca="1">TODAY()-C21</f>
        <v>43138</v>
      </c>
      <c r="E21" s="113" t="s">
        <v>76</v>
      </c>
      <c r="F21" s="59">
        <f ca="1">G21*0.000568181818</f>
        <v>-1.2427401132386871E-58</v>
      </c>
      <c r="G21" s="19">
        <f ca="1">H21*1.0936113</f>
        <v>-2.1872226000000002E-55</v>
      </c>
      <c r="H21" s="129">
        <f ca="1">IF(TODAY()&gt;=B14,(AA20-AA11)*1000,-2E-55)</f>
        <v>-2E-55</v>
      </c>
      <c r="I21" s="152"/>
      <c r="J21" s="447" t="str">
        <f>IF(R21=0,"",#REF!)</f>
        <v/>
      </c>
      <c r="K21" s="448"/>
      <c r="L21" s="448"/>
      <c r="M21" s="448"/>
      <c r="N21" s="448"/>
      <c r="O21" s="259" t="str">
        <f t="shared" si="3"/>
        <v/>
      </c>
      <c r="P21" s="260"/>
      <c r="Q21" s="169">
        <f t="shared" si="4"/>
        <v>0</v>
      </c>
      <c r="R21" s="350"/>
      <c r="S21" s="368" t="str">
        <f t="shared" si="12"/>
        <v/>
      </c>
      <c r="T21" s="350"/>
      <c r="U21" s="350"/>
      <c r="V21" s="350"/>
      <c r="W21" s="350"/>
      <c r="X21" s="234"/>
      <c r="Y21" s="234"/>
      <c r="Z21" s="234"/>
      <c r="AA21" s="348">
        <f t="shared" si="8"/>
        <v>0</v>
      </c>
      <c r="AB21" s="274">
        <f t="shared" si="13"/>
        <v>0</v>
      </c>
      <c r="AC21" s="230"/>
      <c r="AD21" s="100"/>
    </row>
    <row r="22" spans="1:30" ht="16" thickBot="1">
      <c r="A22" s="28"/>
      <c r="B22" s="17"/>
      <c r="C22" s="39"/>
      <c r="D22" s="61">
        <f ca="1">TODAY()-C22</f>
        <v>43138</v>
      </c>
      <c r="E22" s="116" t="s">
        <v>33</v>
      </c>
      <c r="F22" s="62">
        <f>G22*0.0005681818</f>
        <v>10.428453329869027</v>
      </c>
      <c r="G22" s="63">
        <f>H22*1.0936113</f>
        <v>18354.078447899999</v>
      </c>
      <c r="H22" s="131">
        <f>INT(SUM($O14:$O20))</f>
        <v>16783</v>
      </c>
      <c r="I22" s="153"/>
      <c r="J22" s="449"/>
      <c r="K22" s="451"/>
      <c r="L22" s="451"/>
      <c r="M22" s="451"/>
      <c r="N22" s="451"/>
      <c r="O22" s="259" t="str">
        <f t="shared" si="3"/>
        <v/>
      </c>
      <c r="P22" s="260"/>
      <c r="Q22" s="169">
        <f t="shared" si="4"/>
        <v>0</v>
      </c>
      <c r="R22" s="351"/>
      <c r="S22" s="368" t="str">
        <f t="shared" si="12"/>
        <v/>
      </c>
      <c r="T22" s="351"/>
      <c r="U22" s="351"/>
      <c r="V22" s="351"/>
      <c r="W22" s="351"/>
      <c r="X22" s="234"/>
      <c r="Y22" s="234"/>
      <c r="Z22" s="234"/>
      <c r="AA22" s="348">
        <f t="shared" si="8"/>
        <v>0</v>
      </c>
      <c r="AB22" s="274">
        <f t="shared" si="13"/>
        <v>0</v>
      </c>
      <c r="AC22" s="230"/>
      <c r="AD22" s="100"/>
    </row>
    <row r="23" spans="1:30" ht="16" thickTop="1">
      <c r="A23" s="1" t="s">
        <v>10</v>
      </c>
      <c r="B23" s="57">
        <f t="shared" ref="B23:B29" si="25">IF(B$2&gt;C23,0,C23)</f>
        <v>43234</v>
      </c>
      <c r="C23" s="40">
        <f>C20+1</f>
        <v>43234</v>
      </c>
      <c r="D23" s="22">
        <f t="shared" ca="1" si="1"/>
        <v>-96</v>
      </c>
      <c r="E23" s="118" t="s">
        <v>1</v>
      </c>
      <c r="F23" s="55"/>
      <c r="G23" s="56"/>
      <c r="H23" s="56"/>
      <c r="I23" s="200"/>
      <c r="J23" s="128"/>
      <c r="K23" s="201" t="str">
        <f t="shared" ref="K23" si="26">IF(R23=0,"",IF(L23="","",J23))</f>
        <v/>
      </c>
      <c r="L23" s="128"/>
      <c r="M23" s="56" t="str">
        <f>IF(R23=0,"",IF(J23="","",L23))</f>
        <v/>
      </c>
      <c r="N23" s="330"/>
      <c r="O23" s="259">
        <f t="shared" si="3"/>
        <v>2397.6941195718664</v>
      </c>
      <c r="P23" s="260">
        <f t="shared" ref="P23:P29" si="27">H$56</f>
        <v>74324.164717431195</v>
      </c>
      <c r="Q23" s="169">
        <f t="shared" si="4"/>
        <v>46.182894897933686</v>
      </c>
      <c r="R23" s="169">
        <f>IF(R$2=3,H23+G23/1.0936133+F23/0.0006213712,IF(R$2=2,H23*1.0936133+G23+F23/0.0005681818,IF(R$2=1,H23*0.0005681818*1.0936133+G23*0.0005681818+F23,"")))</f>
        <v>0</v>
      </c>
      <c r="S23" s="368" t="str">
        <f t="shared" si="12"/>
        <v/>
      </c>
      <c r="T23" s="169"/>
      <c r="U23" s="169"/>
      <c r="V23" s="170" t="str">
        <f t="shared" ref="V23:V29" si="28">IF(L23="","",IF(R23=0,"",IF(B23=0,"",IF($R$2=3,R23/L23*60/1000,IF($R$2=2,R23/L23*60/1760,IF($R$2=1,R23/L23*60,""))))))</f>
        <v/>
      </c>
      <c r="W23" s="170" t="str">
        <f t="shared" ref="W23:W29" si="29">IF(R23=0,"",IF(L23="","",V23*L23))</f>
        <v/>
      </c>
      <c r="X23" s="259">
        <f>F23+X20</f>
        <v>0</v>
      </c>
      <c r="Y23" s="259">
        <f>G23+Y20</f>
        <v>0</v>
      </c>
      <c r="Z23" s="259">
        <f>H23+Z20</f>
        <v>0</v>
      </c>
      <c r="AA23" s="348">
        <f t="shared" si="8"/>
        <v>0</v>
      </c>
      <c r="AB23" s="274">
        <f t="shared" si="13"/>
        <v>0</v>
      </c>
      <c r="AC23" s="230"/>
      <c r="AD23" s="100"/>
    </row>
    <row r="24" spans="1:30">
      <c r="A24" s="1"/>
      <c r="B24" s="5">
        <f t="shared" si="25"/>
        <v>43235</v>
      </c>
      <c r="C24" s="38">
        <f t="shared" ref="C24:C29" si="30">C23+1</f>
        <v>43235</v>
      </c>
      <c r="D24" s="7">
        <f t="shared" ca="1" si="1"/>
        <v>-97</v>
      </c>
      <c r="E24" s="114" t="s">
        <v>2</v>
      </c>
      <c r="F24" s="55"/>
      <c r="G24" s="56"/>
      <c r="H24" s="56"/>
      <c r="I24" s="200"/>
      <c r="J24" s="56"/>
      <c r="K24" s="201" t="str">
        <f>IF(R24=0,"",IF(L24="","",J24))</f>
        <v/>
      </c>
      <c r="L24" s="56"/>
      <c r="M24" s="56" t="str">
        <f t="shared" ref="M24:M29" si="31">IF(R24=0,"",IF(J24="","",L24))</f>
        <v/>
      </c>
      <c r="N24" s="324"/>
      <c r="O24" s="259">
        <f t="shared" si="3"/>
        <v>2397.6941195718664</v>
      </c>
      <c r="P24" s="260">
        <f t="shared" si="27"/>
        <v>74324.164717431195</v>
      </c>
      <c r="Q24" s="169">
        <f t="shared" si="4"/>
        <v>46.182894897933686</v>
      </c>
      <c r="R24" s="169">
        <f t="shared" ref="R24:R29" si="32">IF(R$2=3,H24+G24/1.0936133+F24/0.0006213712,IF(R$2=2,H24*1.0936133+G24+F24/0.0005681818,IF(R$2=1,H24*0.0005681818*1.0936133+G24*0.0005681818+F24,"")))</f>
        <v>0</v>
      </c>
      <c r="S24" s="368" t="str">
        <f t="shared" si="12"/>
        <v/>
      </c>
      <c r="T24" s="169"/>
      <c r="U24" s="169"/>
      <c r="V24" s="170" t="str">
        <f t="shared" si="28"/>
        <v/>
      </c>
      <c r="W24" s="170" t="str">
        <f t="shared" si="29"/>
        <v/>
      </c>
      <c r="X24" s="259">
        <f t="shared" ref="X24:Z29" si="33">F24+X23</f>
        <v>0</v>
      </c>
      <c r="Y24" s="259">
        <f t="shared" si="33"/>
        <v>0</v>
      </c>
      <c r="Z24" s="259">
        <f t="shared" si="33"/>
        <v>0</v>
      </c>
      <c r="AA24" s="348">
        <f t="shared" si="8"/>
        <v>0</v>
      </c>
      <c r="AB24" s="274">
        <f t="shared" si="13"/>
        <v>0</v>
      </c>
      <c r="AC24" s="230"/>
      <c r="AD24" s="100"/>
    </row>
    <row r="25" spans="1:30">
      <c r="A25" s="1"/>
      <c r="B25" s="5">
        <f t="shared" si="25"/>
        <v>43236</v>
      </c>
      <c r="C25" s="38">
        <f t="shared" si="30"/>
        <v>43236</v>
      </c>
      <c r="D25" s="7">
        <f t="shared" ca="1" si="1"/>
        <v>-98</v>
      </c>
      <c r="E25" s="114" t="s">
        <v>3</v>
      </c>
      <c r="F25" s="55"/>
      <c r="G25" s="56"/>
      <c r="H25" s="56"/>
      <c r="I25" s="200"/>
      <c r="J25" s="56"/>
      <c r="K25" s="201" t="str">
        <f t="shared" ref="K25:K29" si="34">IF(R25=0,"",IF(L25="","",J25))</f>
        <v/>
      </c>
      <c r="L25" s="56"/>
      <c r="M25" s="56" t="str">
        <f t="shared" si="31"/>
        <v/>
      </c>
      <c r="N25" s="324"/>
      <c r="O25" s="259">
        <f t="shared" si="3"/>
        <v>2397.6941195718664</v>
      </c>
      <c r="P25" s="260">
        <f t="shared" si="27"/>
        <v>74324.164717431195</v>
      </c>
      <c r="Q25" s="169">
        <f t="shared" si="4"/>
        <v>46.182894897933686</v>
      </c>
      <c r="R25" s="169">
        <f t="shared" si="32"/>
        <v>0</v>
      </c>
      <c r="S25" s="368" t="str">
        <f t="shared" si="12"/>
        <v/>
      </c>
      <c r="T25" s="169"/>
      <c r="U25" s="169"/>
      <c r="V25" s="170" t="str">
        <f t="shared" si="28"/>
        <v/>
      </c>
      <c r="W25" s="170" t="str">
        <f t="shared" si="29"/>
        <v/>
      </c>
      <c r="X25" s="259">
        <f t="shared" si="33"/>
        <v>0</v>
      </c>
      <c r="Y25" s="259">
        <f t="shared" si="33"/>
        <v>0</v>
      </c>
      <c r="Z25" s="259">
        <f t="shared" si="33"/>
        <v>0</v>
      </c>
      <c r="AA25" s="348">
        <f t="shared" si="8"/>
        <v>0</v>
      </c>
      <c r="AB25" s="274">
        <f t="shared" si="13"/>
        <v>0</v>
      </c>
      <c r="AC25" s="230"/>
      <c r="AD25" s="100"/>
    </row>
    <row r="26" spans="1:30">
      <c r="A26" s="1"/>
      <c r="B26" s="5">
        <f t="shared" si="25"/>
        <v>43237</v>
      </c>
      <c r="C26" s="38">
        <f t="shared" si="30"/>
        <v>43237</v>
      </c>
      <c r="D26" s="7">
        <f t="shared" ca="1" si="1"/>
        <v>-99</v>
      </c>
      <c r="E26" s="114" t="s">
        <v>4</v>
      </c>
      <c r="F26" s="55"/>
      <c r="G26" s="56"/>
      <c r="H26" s="56"/>
      <c r="I26" s="200"/>
      <c r="J26" s="56"/>
      <c r="K26" s="201" t="str">
        <f t="shared" si="34"/>
        <v/>
      </c>
      <c r="L26" s="56"/>
      <c r="M26" s="56" t="str">
        <f t="shared" si="31"/>
        <v/>
      </c>
      <c r="N26" s="324"/>
      <c r="O26" s="259">
        <f t="shared" si="3"/>
        <v>2397.6941195718664</v>
      </c>
      <c r="P26" s="260">
        <f t="shared" si="27"/>
        <v>74324.164717431195</v>
      </c>
      <c r="Q26" s="169">
        <f t="shared" si="4"/>
        <v>46.182894897933686</v>
      </c>
      <c r="R26" s="169">
        <f t="shared" si="32"/>
        <v>0</v>
      </c>
      <c r="S26" s="368" t="str">
        <f t="shared" si="12"/>
        <v/>
      </c>
      <c r="T26" s="169"/>
      <c r="U26" s="169"/>
      <c r="V26" s="170" t="str">
        <f t="shared" si="28"/>
        <v/>
      </c>
      <c r="W26" s="170" t="str">
        <f t="shared" si="29"/>
        <v/>
      </c>
      <c r="X26" s="259">
        <f t="shared" si="33"/>
        <v>0</v>
      </c>
      <c r="Y26" s="259">
        <f t="shared" si="33"/>
        <v>0</v>
      </c>
      <c r="Z26" s="259">
        <f t="shared" si="33"/>
        <v>0</v>
      </c>
      <c r="AA26" s="348">
        <f t="shared" si="8"/>
        <v>0</v>
      </c>
      <c r="AB26" s="274">
        <f t="shared" si="13"/>
        <v>0</v>
      </c>
      <c r="AC26" s="230"/>
      <c r="AD26" s="100"/>
    </row>
    <row r="27" spans="1:30">
      <c r="A27" s="1"/>
      <c r="B27" s="5">
        <f t="shared" si="25"/>
        <v>43238</v>
      </c>
      <c r="C27" s="38">
        <f t="shared" si="30"/>
        <v>43238</v>
      </c>
      <c r="D27" s="7">
        <f t="shared" ca="1" si="1"/>
        <v>-100</v>
      </c>
      <c r="E27" s="114" t="s">
        <v>5</v>
      </c>
      <c r="F27" s="55"/>
      <c r="G27" s="56"/>
      <c r="H27" s="56"/>
      <c r="I27" s="200"/>
      <c r="J27" s="56"/>
      <c r="K27" s="201" t="str">
        <f t="shared" si="34"/>
        <v/>
      </c>
      <c r="L27" s="56"/>
      <c r="M27" s="56" t="str">
        <f t="shared" si="31"/>
        <v/>
      </c>
      <c r="N27" s="324"/>
      <c r="O27" s="259">
        <f t="shared" si="3"/>
        <v>2397.6941195718664</v>
      </c>
      <c r="P27" s="260">
        <f t="shared" si="27"/>
        <v>74324.164717431195</v>
      </c>
      <c r="Q27" s="169">
        <f t="shared" si="4"/>
        <v>46.182894897933686</v>
      </c>
      <c r="R27" s="169">
        <f t="shared" si="32"/>
        <v>0</v>
      </c>
      <c r="S27" s="368" t="str">
        <f t="shared" si="12"/>
        <v/>
      </c>
      <c r="T27" s="169"/>
      <c r="U27" s="169"/>
      <c r="V27" s="170" t="str">
        <f t="shared" si="28"/>
        <v/>
      </c>
      <c r="W27" s="170" t="str">
        <f t="shared" si="29"/>
        <v/>
      </c>
      <c r="X27" s="259">
        <f t="shared" si="33"/>
        <v>0</v>
      </c>
      <c r="Y27" s="259">
        <f t="shared" si="33"/>
        <v>0</v>
      </c>
      <c r="Z27" s="259">
        <f t="shared" si="33"/>
        <v>0</v>
      </c>
      <c r="AA27" s="348">
        <f t="shared" si="8"/>
        <v>0</v>
      </c>
      <c r="AB27" s="274">
        <f t="shared" si="13"/>
        <v>0</v>
      </c>
      <c r="AC27" s="230"/>
      <c r="AD27" s="100"/>
    </row>
    <row r="28" spans="1:30">
      <c r="A28" s="1"/>
      <c r="B28" s="5">
        <f t="shared" si="25"/>
        <v>43239</v>
      </c>
      <c r="C28" s="38">
        <f t="shared" si="30"/>
        <v>43239</v>
      </c>
      <c r="D28" s="7">
        <f t="shared" ca="1" si="1"/>
        <v>-101</v>
      </c>
      <c r="E28" s="114" t="s">
        <v>6</v>
      </c>
      <c r="F28" s="55"/>
      <c r="G28" s="56"/>
      <c r="H28" s="56"/>
      <c r="I28" s="200"/>
      <c r="J28" s="56"/>
      <c r="K28" s="201" t="str">
        <f t="shared" si="34"/>
        <v/>
      </c>
      <c r="L28" s="56"/>
      <c r="M28" s="56" t="str">
        <f t="shared" si="31"/>
        <v/>
      </c>
      <c r="N28" s="324"/>
      <c r="O28" s="259">
        <f t="shared" si="3"/>
        <v>2397.6941195718664</v>
      </c>
      <c r="P28" s="260">
        <f t="shared" si="27"/>
        <v>74324.164717431195</v>
      </c>
      <c r="Q28" s="169">
        <f t="shared" si="4"/>
        <v>46.182894897933686</v>
      </c>
      <c r="R28" s="169">
        <f t="shared" si="32"/>
        <v>0</v>
      </c>
      <c r="S28" s="368" t="str">
        <f t="shared" si="12"/>
        <v/>
      </c>
      <c r="T28" s="169"/>
      <c r="U28" s="169"/>
      <c r="V28" s="170" t="str">
        <f t="shared" si="28"/>
        <v/>
      </c>
      <c r="W28" s="170" t="str">
        <f t="shared" si="29"/>
        <v/>
      </c>
      <c r="X28" s="259">
        <f t="shared" si="33"/>
        <v>0</v>
      </c>
      <c r="Y28" s="259">
        <f t="shared" si="33"/>
        <v>0</v>
      </c>
      <c r="Z28" s="259">
        <f t="shared" si="33"/>
        <v>0</v>
      </c>
      <c r="AA28" s="348">
        <f t="shared" si="8"/>
        <v>0</v>
      </c>
      <c r="AB28" s="274">
        <f t="shared" si="13"/>
        <v>0</v>
      </c>
      <c r="AC28" s="230"/>
      <c r="AD28" s="100"/>
    </row>
    <row r="29" spans="1:30" ht="16" thickBot="1">
      <c r="A29" s="1"/>
      <c r="B29" s="53">
        <f t="shared" si="25"/>
        <v>43240</v>
      </c>
      <c r="C29" s="41">
        <f t="shared" si="30"/>
        <v>43240</v>
      </c>
      <c r="D29" s="54">
        <f t="shared" ca="1" si="1"/>
        <v>-102</v>
      </c>
      <c r="E29" s="117" t="s">
        <v>7</v>
      </c>
      <c r="F29" s="55"/>
      <c r="G29" s="56"/>
      <c r="H29" s="56"/>
      <c r="I29" s="200"/>
      <c r="J29" s="56"/>
      <c r="K29" s="201" t="str">
        <f t="shared" si="34"/>
        <v/>
      </c>
      <c r="L29" s="56"/>
      <c r="M29" s="56" t="str">
        <f t="shared" si="31"/>
        <v/>
      </c>
      <c r="N29" s="329"/>
      <c r="O29" s="259">
        <f t="shared" si="3"/>
        <v>2397.6941195718664</v>
      </c>
      <c r="P29" s="260">
        <f t="shared" si="27"/>
        <v>74324.164717431195</v>
      </c>
      <c r="Q29" s="169">
        <f t="shared" si="4"/>
        <v>46.182894897933686</v>
      </c>
      <c r="R29" s="169">
        <f t="shared" si="32"/>
        <v>0</v>
      </c>
      <c r="S29" s="368" t="str">
        <f t="shared" si="12"/>
        <v/>
      </c>
      <c r="T29" s="169"/>
      <c r="U29" s="169"/>
      <c r="V29" s="170" t="str">
        <f t="shared" si="28"/>
        <v/>
      </c>
      <c r="W29" s="170" t="str">
        <f t="shared" si="29"/>
        <v/>
      </c>
      <c r="X29" s="259">
        <f t="shared" si="33"/>
        <v>0</v>
      </c>
      <c r="Y29" s="259">
        <f t="shared" si="33"/>
        <v>0</v>
      </c>
      <c r="Z29" s="259">
        <f t="shared" si="33"/>
        <v>0</v>
      </c>
      <c r="AA29" s="348">
        <f t="shared" si="8"/>
        <v>0</v>
      </c>
      <c r="AB29" s="274">
        <f t="shared" si="13"/>
        <v>0</v>
      </c>
      <c r="AC29" s="230"/>
      <c r="AD29" s="100"/>
    </row>
    <row r="30" spans="1:30" ht="16" thickTop="1">
      <c r="A30" s="29"/>
      <c r="B30" s="16"/>
      <c r="C30" s="42"/>
      <c r="D30" s="60">
        <f ca="1">TODAY()-C30</f>
        <v>43138</v>
      </c>
      <c r="E30" s="113" t="s">
        <v>76</v>
      </c>
      <c r="F30" s="59">
        <f ca="1">G30*0.000568181818</f>
        <v>-1.2427401132386871E-58</v>
      </c>
      <c r="G30" s="19">
        <f ca="1">H30*1.0936113</f>
        <v>-2.1872226000000002E-55</v>
      </c>
      <c r="H30" s="129">
        <f ca="1">IF(TODAY()&gt;=B23,(AA29-AA20)*1000,-2E-55)</f>
        <v>-2E-55</v>
      </c>
      <c r="I30" s="152"/>
      <c r="J30" s="424" t="s">
        <v>121</v>
      </c>
      <c r="K30" s="452"/>
      <c r="L30" s="452"/>
      <c r="M30" s="453"/>
      <c r="N30" s="453"/>
      <c r="O30" s="259" t="str">
        <f t="shared" si="3"/>
        <v/>
      </c>
      <c r="P30" s="260"/>
      <c r="Q30" s="169">
        <f t="shared" si="4"/>
        <v>0</v>
      </c>
      <c r="R30" s="350"/>
      <c r="S30" s="368" t="str">
        <f t="shared" si="12"/>
        <v/>
      </c>
      <c r="T30" s="350"/>
      <c r="U30" s="350"/>
      <c r="V30" s="350"/>
      <c r="W30" s="350"/>
      <c r="X30" s="234"/>
      <c r="Y30" s="234"/>
      <c r="Z30" s="234"/>
      <c r="AA30" s="348">
        <f t="shared" si="8"/>
        <v>0</v>
      </c>
      <c r="AB30" s="274">
        <f t="shared" si="13"/>
        <v>0</v>
      </c>
      <c r="AC30" s="230"/>
      <c r="AD30" s="100"/>
    </row>
    <row r="31" spans="1:30" ht="19" thickBot="1">
      <c r="A31" s="28"/>
      <c r="B31" s="17"/>
      <c r="C31" s="39"/>
      <c r="D31" s="61">
        <f ca="1">TODAY()-C31</f>
        <v>43138</v>
      </c>
      <c r="E31" s="116" t="s">
        <v>33</v>
      </c>
      <c r="F31" s="62">
        <f>G31*0.0005681818</f>
        <v>10.428453329869027</v>
      </c>
      <c r="G31" s="63">
        <f>H31*1.0936113</f>
        <v>18354.078447899999</v>
      </c>
      <c r="H31" s="131">
        <f>INT(SUM($O23:$O29))</f>
        <v>16783</v>
      </c>
      <c r="I31" s="153"/>
      <c r="J31" s="426" t="str">
        <f>IF(R$2=1,"mph",IF(R$2=2,"mph",IF(R$2=3," km/h","????")))</f>
        <v>mph</v>
      </c>
      <c r="K31" s="454"/>
      <c r="L31" s="454"/>
      <c r="M31" s="455"/>
      <c r="N31" s="455"/>
      <c r="O31" s="259" t="str">
        <f t="shared" si="3"/>
        <v/>
      </c>
      <c r="P31" s="260"/>
      <c r="Q31" s="169">
        <f t="shared" si="4"/>
        <v>0</v>
      </c>
      <c r="R31" s="351"/>
      <c r="S31" s="368" t="str">
        <f t="shared" si="12"/>
        <v/>
      </c>
      <c r="T31" s="351"/>
      <c r="U31" s="351"/>
      <c r="V31" s="351"/>
      <c r="W31" s="351"/>
      <c r="X31" s="234"/>
      <c r="Y31" s="234"/>
      <c r="Z31" s="234"/>
      <c r="AA31" s="348">
        <f t="shared" si="8"/>
        <v>0</v>
      </c>
      <c r="AB31" s="274">
        <f t="shared" si="13"/>
        <v>0</v>
      </c>
      <c r="AC31" s="230"/>
      <c r="AD31" s="100"/>
    </row>
    <row r="32" spans="1:30" ht="16" thickTop="1">
      <c r="A32" s="1" t="s">
        <v>11</v>
      </c>
      <c r="B32" s="57">
        <f t="shared" ref="B32:B38" si="35">IF(B$2&gt;C32,0,C32)</f>
        <v>43241</v>
      </c>
      <c r="C32" s="40">
        <f>C29+1</f>
        <v>43241</v>
      </c>
      <c r="D32" s="22">
        <f t="shared" ca="1" si="1"/>
        <v>-103</v>
      </c>
      <c r="E32" s="118" t="s">
        <v>1</v>
      </c>
      <c r="F32" s="55"/>
      <c r="G32" s="56"/>
      <c r="H32" s="56"/>
      <c r="I32" s="200"/>
      <c r="J32" s="56"/>
      <c r="K32" s="201" t="str">
        <f t="shared" ref="K32" si="36">IF(R32=0,"",IF(L32="","",J32))</f>
        <v/>
      </c>
      <c r="L32" s="154"/>
      <c r="M32" s="56" t="str">
        <f>IF(R32=0,"",IF(J32="","",L32))</f>
        <v/>
      </c>
      <c r="N32" s="330"/>
      <c r="O32" s="259">
        <f t="shared" si="3"/>
        <v>2397.6941195718664</v>
      </c>
      <c r="P32" s="260">
        <f t="shared" ref="P32:P38" si="37">H$56</f>
        <v>74324.164717431195</v>
      </c>
      <c r="Q32" s="169">
        <f t="shared" si="4"/>
        <v>46.182894897933686</v>
      </c>
      <c r="R32" s="169">
        <f>IF(R$2=3,H32+G32/1.0936133+F32/0.0006213712,IF(R$2=2,H32*1.0936133+G32+F32/0.0005681818,IF(R$2=1,H32*0.0005681818*1.0936133+G32*0.0005681818+F32,"")))</f>
        <v>0</v>
      </c>
      <c r="S32" s="368" t="str">
        <f t="shared" si="12"/>
        <v/>
      </c>
      <c r="T32" s="169"/>
      <c r="U32" s="169"/>
      <c r="V32" s="170" t="str">
        <f t="shared" ref="V32:V38" si="38">IF(L32="","",IF(R32=0,"",IF(B32=0,"",IF($R$2=3,R32/L32*60/1000,IF($R$2=2,R32/L32*60/1760,IF($R$2=1,R32/L32*60,""))))))</f>
        <v/>
      </c>
      <c r="W32" s="170" t="str">
        <f t="shared" ref="W32:W38" si="39">IF(R32=0,"",IF(L32="","",V32*L32))</f>
        <v/>
      </c>
      <c r="X32" s="259">
        <f>F32+X29</f>
        <v>0</v>
      </c>
      <c r="Y32" s="259">
        <f>G32+Y29</f>
        <v>0</v>
      </c>
      <c r="Z32" s="259">
        <f>H32+Z29</f>
        <v>0</v>
      </c>
      <c r="AA32" s="348">
        <f t="shared" si="8"/>
        <v>0</v>
      </c>
      <c r="AB32" s="274">
        <f t="shared" si="13"/>
        <v>0</v>
      </c>
      <c r="AC32" s="230"/>
      <c r="AD32" s="100"/>
    </row>
    <row r="33" spans="1:30">
      <c r="A33" s="1"/>
      <c r="B33" s="5">
        <f t="shared" si="35"/>
        <v>43242</v>
      </c>
      <c r="C33" s="38">
        <f t="shared" ref="C33:C38" si="40">C32+1</f>
        <v>43242</v>
      </c>
      <c r="D33" s="7">
        <f t="shared" ca="1" si="1"/>
        <v>-104</v>
      </c>
      <c r="E33" s="114" t="s">
        <v>2</v>
      </c>
      <c r="F33" s="55"/>
      <c r="G33" s="56"/>
      <c r="H33" s="56"/>
      <c r="I33" s="200"/>
      <c r="J33" s="56"/>
      <c r="K33" s="201" t="str">
        <f>IF(R33=0,"",IF(L33="","",J33))</f>
        <v/>
      </c>
      <c r="L33" s="56"/>
      <c r="M33" s="56" t="str">
        <f t="shared" ref="M33:M38" si="41">IF(R33=0,"",IF(J33="","",L33))</f>
        <v/>
      </c>
      <c r="N33" s="324"/>
      <c r="O33" s="259">
        <f t="shared" si="3"/>
        <v>2397.6941195718664</v>
      </c>
      <c r="P33" s="260">
        <f t="shared" si="37"/>
        <v>74324.164717431195</v>
      </c>
      <c r="Q33" s="169">
        <f t="shared" si="4"/>
        <v>46.182894897933686</v>
      </c>
      <c r="R33" s="169">
        <f t="shared" ref="R33:R38" si="42">IF(R$2=3,H33+G33/1.0936133+F33/0.0006213712,IF(R$2=2,H33*1.0936133+G33+F33/0.0005681818,IF(R$2=1,H33*0.0005681818*1.0936133+G33*0.0005681818+F33,"")))</f>
        <v>0</v>
      </c>
      <c r="S33" s="368" t="str">
        <f t="shared" si="12"/>
        <v/>
      </c>
      <c r="T33" s="169"/>
      <c r="U33" s="169"/>
      <c r="V33" s="170" t="str">
        <f t="shared" si="38"/>
        <v/>
      </c>
      <c r="W33" s="170" t="str">
        <f t="shared" si="39"/>
        <v/>
      </c>
      <c r="X33" s="259">
        <f t="shared" ref="X33:Z38" si="43">F33+X32</f>
        <v>0</v>
      </c>
      <c r="Y33" s="259">
        <f t="shared" si="43"/>
        <v>0</v>
      </c>
      <c r="Z33" s="259">
        <f t="shared" si="43"/>
        <v>0</v>
      </c>
      <c r="AA33" s="348">
        <f t="shared" si="8"/>
        <v>0</v>
      </c>
      <c r="AB33" s="274">
        <f t="shared" si="13"/>
        <v>0</v>
      </c>
      <c r="AC33" s="230"/>
      <c r="AD33" s="100"/>
    </row>
    <row r="34" spans="1:30">
      <c r="A34" s="1"/>
      <c r="B34" s="5">
        <f t="shared" si="35"/>
        <v>43243</v>
      </c>
      <c r="C34" s="38">
        <f t="shared" si="40"/>
        <v>43243</v>
      </c>
      <c r="D34" s="7">
        <f t="shared" ca="1" si="1"/>
        <v>-105</v>
      </c>
      <c r="E34" s="114" t="s">
        <v>3</v>
      </c>
      <c r="F34" s="55"/>
      <c r="G34" s="56"/>
      <c r="H34" s="56"/>
      <c r="I34" s="200"/>
      <c r="J34" s="56"/>
      <c r="K34" s="201" t="str">
        <f t="shared" ref="K34:K38" si="44">IF(R34=0,"",IF(L34="","",J34))</f>
        <v/>
      </c>
      <c r="L34" s="56"/>
      <c r="M34" s="56" t="str">
        <f t="shared" si="41"/>
        <v/>
      </c>
      <c r="N34" s="324"/>
      <c r="O34" s="259">
        <f t="shared" si="3"/>
        <v>2397.6941195718664</v>
      </c>
      <c r="P34" s="260">
        <f t="shared" si="37"/>
        <v>74324.164717431195</v>
      </c>
      <c r="Q34" s="169">
        <f t="shared" si="4"/>
        <v>46.182894897933686</v>
      </c>
      <c r="R34" s="169">
        <f t="shared" si="42"/>
        <v>0</v>
      </c>
      <c r="S34" s="368" t="str">
        <f t="shared" si="12"/>
        <v/>
      </c>
      <c r="T34" s="169"/>
      <c r="U34" s="169"/>
      <c r="V34" s="170" t="str">
        <f t="shared" si="38"/>
        <v/>
      </c>
      <c r="W34" s="170" t="str">
        <f t="shared" si="39"/>
        <v/>
      </c>
      <c r="X34" s="259">
        <f t="shared" si="43"/>
        <v>0</v>
      </c>
      <c r="Y34" s="259">
        <f t="shared" si="43"/>
        <v>0</v>
      </c>
      <c r="Z34" s="259">
        <f t="shared" si="43"/>
        <v>0</v>
      </c>
      <c r="AA34" s="348">
        <f t="shared" si="8"/>
        <v>0</v>
      </c>
      <c r="AB34" s="274">
        <f t="shared" si="13"/>
        <v>0</v>
      </c>
      <c r="AC34" s="230"/>
      <c r="AD34" s="100"/>
    </row>
    <row r="35" spans="1:30">
      <c r="A35" s="1"/>
      <c r="B35" s="5">
        <f t="shared" si="35"/>
        <v>43244</v>
      </c>
      <c r="C35" s="38">
        <f t="shared" si="40"/>
        <v>43244</v>
      </c>
      <c r="D35" s="7">
        <f t="shared" ca="1" si="1"/>
        <v>-106</v>
      </c>
      <c r="E35" s="114" t="s">
        <v>4</v>
      </c>
      <c r="F35" s="55"/>
      <c r="G35" s="56"/>
      <c r="H35" s="56"/>
      <c r="I35" s="200"/>
      <c r="J35" s="56"/>
      <c r="K35" s="201" t="str">
        <f t="shared" si="44"/>
        <v/>
      </c>
      <c r="L35" s="56"/>
      <c r="M35" s="56" t="str">
        <f t="shared" si="41"/>
        <v/>
      </c>
      <c r="N35" s="324"/>
      <c r="O35" s="259">
        <f t="shared" si="3"/>
        <v>2397.6941195718664</v>
      </c>
      <c r="P35" s="260">
        <f t="shared" si="37"/>
        <v>74324.164717431195</v>
      </c>
      <c r="Q35" s="169">
        <f t="shared" si="4"/>
        <v>46.182894897933686</v>
      </c>
      <c r="R35" s="169">
        <f t="shared" si="42"/>
        <v>0</v>
      </c>
      <c r="S35" s="368" t="str">
        <f t="shared" si="12"/>
        <v/>
      </c>
      <c r="T35" s="169"/>
      <c r="U35" s="169"/>
      <c r="V35" s="170" t="str">
        <f t="shared" si="38"/>
        <v/>
      </c>
      <c r="W35" s="170" t="str">
        <f t="shared" si="39"/>
        <v/>
      </c>
      <c r="X35" s="259">
        <f t="shared" si="43"/>
        <v>0</v>
      </c>
      <c r="Y35" s="259">
        <f t="shared" si="43"/>
        <v>0</v>
      </c>
      <c r="Z35" s="259">
        <f t="shared" si="43"/>
        <v>0</v>
      </c>
      <c r="AA35" s="348">
        <f t="shared" si="8"/>
        <v>0</v>
      </c>
      <c r="AB35" s="274">
        <f t="shared" si="13"/>
        <v>0</v>
      </c>
      <c r="AC35" s="230"/>
      <c r="AD35" s="100"/>
    </row>
    <row r="36" spans="1:30">
      <c r="A36" s="1"/>
      <c r="B36" s="5">
        <f t="shared" si="35"/>
        <v>43245</v>
      </c>
      <c r="C36" s="38">
        <f t="shared" si="40"/>
        <v>43245</v>
      </c>
      <c r="D36" s="7">
        <f t="shared" ca="1" si="1"/>
        <v>-107</v>
      </c>
      <c r="E36" s="114" t="s">
        <v>5</v>
      </c>
      <c r="F36" s="55"/>
      <c r="G36" s="56"/>
      <c r="H36" s="56"/>
      <c r="I36" s="200"/>
      <c r="J36" s="56"/>
      <c r="K36" s="201" t="str">
        <f t="shared" si="44"/>
        <v/>
      </c>
      <c r="L36" s="56"/>
      <c r="M36" s="56" t="str">
        <f t="shared" si="41"/>
        <v/>
      </c>
      <c r="N36" s="324"/>
      <c r="O36" s="259">
        <f t="shared" si="3"/>
        <v>2397.6941195718664</v>
      </c>
      <c r="P36" s="260">
        <f t="shared" si="37"/>
        <v>74324.164717431195</v>
      </c>
      <c r="Q36" s="169">
        <f t="shared" si="4"/>
        <v>46.182894897933686</v>
      </c>
      <c r="R36" s="169">
        <f t="shared" si="42"/>
        <v>0</v>
      </c>
      <c r="S36" s="368" t="str">
        <f t="shared" si="12"/>
        <v/>
      </c>
      <c r="T36" s="169"/>
      <c r="U36" s="169"/>
      <c r="V36" s="170" t="str">
        <f t="shared" si="38"/>
        <v/>
      </c>
      <c r="W36" s="170" t="str">
        <f t="shared" si="39"/>
        <v/>
      </c>
      <c r="X36" s="259">
        <f t="shared" si="43"/>
        <v>0</v>
      </c>
      <c r="Y36" s="259">
        <f t="shared" si="43"/>
        <v>0</v>
      </c>
      <c r="Z36" s="259">
        <f t="shared" si="43"/>
        <v>0</v>
      </c>
      <c r="AA36" s="348">
        <f t="shared" si="8"/>
        <v>0</v>
      </c>
      <c r="AB36" s="274">
        <f t="shared" si="13"/>
        <v>0</v>
      </c>
      <c r="AC36" s="230"/>
      <c r="AD36" s="100"/>
    </row>
    <row r="37" spans="1:30">
      <c r="A37" s="1"/>
      <c r="B37" s="5">
        <f t="shared" si="35"/>
        <v>43246</v>
      </c>
      <c r="C37" s="38">
        <f t="shared" si="40"/>
        <v>43246</v>
      </c>
      <c r="D37" s="7">
        <f t="shared" ca="1" si="1"/>
        <v>-108</v>
      </c>
      <c r="E37" s="114" t="s">
        <v>6</v>
      </c>
      <c r="F37" s="55"/>
      <c r="G37" s="56"/>
      <c r="H37" s="56"/>
      <c r="I37" s="200"/>
      <c r="J37" s="56"/>
      <c r="K37" s="201" t="str">
        <f t="shared" si="44"/>
        <v/>
      </c>
      <c r="L37" s="56"/>
      <c r="M37" s="56" t="str">
        <f t="shared" si="41"/>
        <v/>
      </c>
      <c r="N37" s="324"/>
      <c r="O37" s="259">
        <f t="shared" si="3"/>
        <v>2397.6941195718664</v>
      </c>
      <c r="P37" s="260">
        <f t="shared" si="37"/>
        <v>74324.164717431195</v>
      </c>
      <c r="Q37" s="169">
        <f t="shared" si="4"/>
        <v>46.182894897933686</v>
      </c>
      <c r="R37" s="169">
        <f t="shared" si="42"/>
        <v>0</v>
      </c>
      <c r="S37" s="368" t="str">
        <f t="shared" si="12"/>
        <v/>
      </c>
      <c r="T37" s="169"/>
      <c r="U37" s="169"/>
      <c r="V37" s="170" t="str">
        <f t="shared" si="38"/>
        <v/>
      </c>
      <c r="W37" s="170" t="str">
        <f t="shared" si="39"/>
        <v/>
      </c>
      <c r="X37" s="259">
        <f t="shared" si="43"/>
        <v>0</v>
      </c>
      <c r="Y37" s="259">
        <f t="shared" si="43"/>
        <v>0</v>
      </c>
      <c r="Z37" s="259">
        <f t="shared" si="43"/>
        <v>0</v>
      </c>
      <c r="AA37" s="348">
        <f t="shared" si="8"/>
        <v>0</v>
      </c>
      <c r="AB37" s="274">
        <f t="shared" si="13"/>
        <v>0</v>
      </c>
      <c r="AC37" s="230"/>
      <c r="AD37" s="100"/>
    </row>
    <row r="38" spans="1:30" ht="16" thickBot="1">
      <c r="A38" s="1"/>
      <c r="B38" s="53">
        <f t="shared" si="35"/>
        <v>43247</v>
      </c>
      <c r="C38" s="41">
        <f t="shared" si="40"/>
        <v>43247</v>
      </c>
      <c r="D38" s="54">
        <f t="shared" ca="1" si="1"/>
        <v>-109</v>
      </c>
      <c r="E38" s="117" t="s">
        <v>7</v>
      </c>
      <c r="F38" s="55"/>
      <c r="G38" s="56"/>
      <c r="H38" s="56"/>
      <c r="I38" s="200"/>
      <c r="J38" s="56"/>
      <c r="K38" s="201" t="str">
        <f t="shared" si="44"/>
        <v/>
      </c>
      <c r="L38" s="56"/>
      <c r="M38" s="56" t="str">
        <f t="shared" si="41"/>
        <v/>
      </c>
      <c r="N38" s="329"/>
      <c r="O38" s="259">
        <f t="shared" si="3"/>
        <v>2397.6941195718664</v>
      </c>
      <c r="P38" s="260">
        <f t="shared" si="37"/>
        <v>74324.164717431195</v>
      </c>
      <c r="Q38" s="169">
        <f t="shared" si="4"/>
        <v>46.182894897933686</v>
      </c>
      <c r="R38" s="169">
        <f t="shared" si="42"/>
        <v>0</v>
      </c>
      <c r="S38" s="368" t="str">
        <f t="shared" si="12"/>
        <v/>
      </c>
      <c r="T38" s="169"/>
      <c r="U38" s="169"/>
      <c r="V38" s="170" t="str">
        <f t="shared" si="38"/>
        <v/>
      </c>
      <c r="W38" s="170" t="str">
        <f t="shared" si="39"/>
        <v/>
      </c>
      <c r="X38" s="259">
        <f t="shared" si="43"/>
        <v>0</v>
      </c>
      <c r="Y38" s="259">
        <f t="shared" si="43"/>
        <v>0</v>
      </c>
      <c r="Z38" s="259">
        <f t="shared" si="43"/>
        <v>0</v>
      </c>
      <c r="AA38" s="348">
        <f t="shared" si="8"/>
        <v>0</v>
      </c>
      <c r="AB38" s="274">
        <f t="shared" si="13"/>
        <v>0</v>
      </c>
      <c r="AC38" s="230"/>
      <c r="AD38" s="100"/>
    </row>
    <row r="39" spans="1:30" ht="16" thickTop="1">
      <c r="A39" s="29"/>
      <c r="B39" s="16"/>
      <c r="C39" s="42"/>
      <c r="D39" s="60">
        <f ca="1">TODAY()-C39</f>
        <v>43138</v>
      </c>
      <c r="E39" s="113" t="s">
        <v>76</v>
      </c>
      <c r="F39" s="59">
        <f ca="1">G39*0.000568181818</f>
        <v>-1.2427401132386871E-58</v>
      </c>
      <c r="G39" s="19">
        <f ca="1">H39*1.0936113</f>
        <v>-2.1872226000000002E-55</v>
      </c>
      <c r="H39" s="20">
        <f ca="1">IF(TODAY()&gt;=B32,(AA38-AA29)*1000,-2E-55)</f>
        <v>-2E-55</v>
      </c>
      <c r="I39" s="152"/>
      <c r="J39" s="218" t="s">
        <v>137</v>
      </c>
      <c r="K39" s="155"/>
      <c r="L39" s="219" t="s">
        <v>138</v>
      </c>
      <c r="M39" s="155"/>
      <c r="N39" s="331" t="s">
        <v>139</v>
      </c>
      <c r="O39" s="259" t="str">
        <f t="shared" si="3"/>
        <v/>
      </c>
      <c r="P39" s="260"/>
      <c r="Q39" s="169">
        <f t="shared" si="4"/>
        <v>0</v>
      </c>
      <c r="R39" s="350"/>
      <c r="S39" s="368" t="str">
        <f t="shared" si="12"/>
        <v/>
      </c>
      <c r="T39" s="350"/>
      <c r="U39" s="350"/>
      <c r="V39" s="350"/>
      <c r="W39" s="350"/>
      <c r="X39" s="234"/>
      <c r="Y39" s="234"/>
      <c r="Z39" s="234"/>
      <c r="AA39" s="348">
        <f t="shared" si="8"/>
        <v>0</v>
      </c>
      <c r="AB39" s="274">
        <f t="shared" si="13"/>
        <v>0</v>
      </c>
      <c r="AC39" s="230"/>
      <c r="AD39" s="100"/>
    </row>
    <row r="40" spans="1:30" ht="16" thickBot="1">
      <c r="A40" s="28"/>
      <c r="B40" s="17"/>
      <c r="C40" s="39"/>
      <c r="D40" s="61">
        <f ca="1">TODAY()-C40</f>
        <v>43138</v>
      </c>
      <c r="E40" s="116" t="s">
        <v>33</v>
      </c>
      <c r="F40" s="62">
        <f>G40*0.0005681818</f>
        <v>10.428453329869027</v>
      </c>
      <c r="G40" s="63">
        <f>H40*1.0936113</f>
        <v>18354.078447899999</v>
      </c>
      <c r="H40" s="6">
        <f>INT(SUM($O32:$O38))</f>
        <v>16783</v>
      </c>
      <c r="I40" s="153"/>
      <c r="J40" s="156"/>
      <c r="K40" s="157"/>
      <c r="L40" s="217">
        <f>COUNT(S5:S51)-COUNT(V5:V51)</f>
        <v>0</v>
      </c>
      <c r="M40" s="157"/>
      <c r="N40" s="157"/>
      <c r="O40" s="259" t="str">
        <f t="shared" si="3"/>
        <v/>
      </c>
      <c r="P40" s="260"/>
      <c r="Q40" s="169">
        <f t="shared" si="4"/>
        <v>0</v>
      </c>
      <c r="R40" s="351"/>
      <c r="S40" s="368" t="str">
        <f t="shared" si="12"/>
        <v/>
      </c>
      <c r="T40" s="351"/>
      <c r="U40" s="351"/>
      <c r="V40" s="351"/>
      <c r="W40" s="351"/>
      <c r="X40" s="234"/>
      <c r="Y40" s="234"/>
      <c r="Z40" s="234"/>
      <c r="AA40" s="348">
        <f t="shared" si="8"/>
        <v>0</v>
      </c>
      <c r="AB40" s="274">
        <f t="shared" si="13"/>
        <v>0</v>
      </c>
      <c r="AC40" s="230"/>
      <c r="AD40" s="100"/>
    </row>
    <row r="41" spans="1:30" ht="16" thickTop="1">
      <c r="A41" s="1" t="s">
        <v>12</v>
      </c>
      <c r="B41" s="57">
        <f t="shared" ref="B41:B47" si="45">IF(B$3&lt;C41,0,C41)</f>
        <v>43248</v>
      </c>
      <c r="C41" s="40">
        <f>C38+1</f>
        <v>43248</v>
      </c>
      <c r="D41" s="22">
        <f t="shared" ca="1" si="1"/>
        <v>-110</v>
      </c>
      <c r="E41" s="118" t="str">
        <f>IF(B41=0,"","Monday")</f>
        <v>Monday</v>
      </c>
      <c r="F41" s="55"/>
      <c r="G41" s="56"/>
      <c r="H41" s="56"/>
      <c r="I41" s="200"/>
      <c r="J41" s="128"/>
      <c r="K41" s="201" t="str">
        <f t="shared" ref="K41" si="46">IF(R41=0,"",IF(L41="","",J41))</f>
        <v/>
      </c>
      <c r="L41" s="128"/>
      <c r="M41" s="56" t="str">
        <f>IF(R41=0,"",IF(J41="","",L41))</f>
        <v/>
      </c>
      <c r="N41" s="330"/>
      <c r="O41" s="259">
        <f t="shared" si="3"/>
        <v>2397.6941195718664</v>
      </c>
      <c r="P41" s="260">
        <f t="shared" ref="P41:P47" si="47">H$56</f>
        <v>74324.164717431195</v>
      </c>
      <c r="Q41" s="169">
        <f t="shared" si="4"/>
        <v>46.182894897933686</v>
      </c>
      <c r="R41" s="169">
        <f>IF(R$2=3,H41+G41/1.0936133+F41/0.0006213712,IF(R$2=2,H41*1.0936133+G41+F41/0.0005681818,IF(R$2=1,H41*0.0005681818*1.0936133+G41*0.0005681818+F41,"")))</f>
        <v>0</v>
      </c>
      <c r="S41" s="368" t="str">
        <f t="shared" si="12"/>
        <v/>
      </c>
      <c r="T41" s="169"/>
      <c r="U41" s="169"/>
      <c r="V41" s="170" t="str">
        <f t="shared" ref="V41:V47" si="48">IF(L41="","",IF(R41=0,"",IF(B41=0,"",IF($R$2=3,R41/L41*60/1000,IF($R$2=2,R41/L41*60/1760,IF($R$2=1,R41/L41*60,""))))))</f>
        <v/>
      </c>
      <c r="W41" s="170" t="str">
        <f t="shared" ref="W41:W47" si="49">IF(R41=0,"",IF(L41="","",V41*L41))</f>
        <v/>
      </c>
      <c r="X41" s="259">
        <f>F41+X38</f>
        <v>0</v>
      </c>
      <c r="Y41" s="259">
        <f>G41+Y38</f>
        <v>0</v>
      </c>
      <c r="Z41" s="259">
        <f>H41+Z38</f>
        <v>0</v>
      </c>
      <c r="AA41" s="348">
        <f t="shared" si="8"/>
        <v>0</v>
      </c>
      <c r="AB41" s="274">
        <f t="shared" si="13"/>
        <v>0</v>
      </c>
      <c r="AC41" s="230"/>
      <c r="AD41" s="100"/>
    </row>
    <row r="42" spans="1:30">
      <c r="A42" s="1"/>
      <c r="B42" s="5">
        <f t="shared" si="45"/>
        <v>43249</v>
      </c>
      <c r="C42" s="38">
        <f t="shared" ref="C42:C47" si="50">C41+1</f>
        <v>43249</v>
      </c>
      <c r="D42" s="7">
        <f t="shared" ca="1" si="1"/>
        <v>-111</v>
      </c>
      <c r="E42" s="114" t="str">
        <f>IF(B42=0,"","Tuesday")</f>
        <v>Tuesday</v>
      </c>
      <c r="F42" s="55"/>
      <c r="G42" s="56"/>
      <c r="H42" s="56"/>
      <c r="I42" s="200"/>
      <c r="J42" s="56"/>
      <c r="K42" s="201" t="str">
        <f>IF(R42=0,"",IF(L42="","",J42))</f>
        <v/>
      </c>
      <c r="L42" s="56"/>
      <c r="M42" s="56" t="str">
        <f t="shared" ref="M42:M47" si="51">IF(R42=0,"",IF(J42="","",L42))</f>
        <v/>
      </c>
      <c r="N42" s="324"/>
      <c r="O42" s="259">
        <f t="shared" si="3"/>
        <v>2397.6941195718664</v>
      </c>
      <c r="P42" s="260">
        <f t="shared" si="47"/>
        <v>74324.164717431195</v>
      </c>
      <c r="Q42" s="169">
        <f t="shared" si="4"/>
        <v>46.182894897933686</v>
      </c>
      <c r="R42" s="169">
        <f t="shared" ref="R42:R47" si="52">IF(R$2=3,H42+G42/1.0936133+F42/0.0006213712,IF(R$2=2,H42*1.0936133+G42+F42/0.0005681818,IF(R$2=1,H42*0.0005681818*1.0936133+G42*0.0005681818+F42,"")))</f>
        <v>0</v>
      </c>
      <c r="S42" s="368" t="str">
        <f t="shared" si="12"/>
        <v/>
      </c>
      <c r="T42" s="169"/>
      <c r="U42" s="169"/>
      <c r="V42" s="170" t="str">
        <f t="shared" si="48"/>
        <v/>
      </c>
      <c r="W42" s="170" t="str">
        <f t="shared" si="49"/>
        <v/>
      </c>
      <c r="X42" s="259">
        <f t="shared" ref="X42:Z47" si="53">F42+X41</f>
        <v>0</v>
      </c>
      <c r="Y42" s="259">
        <f t="shared" si="53"/>
        <v>0</v>
      </c>
      <c r="Z42" s="259">
        <f t="shared" si="53"/>
        <v>0</v>
      </c>
      <c r="AA42" s="348">
        <f t="shared" si="8"/>
        <v>0</v>
      </c>
      <c r="AB42" s="274">
        <f t="shared" si="13"/>
        <v>0</v>
      </c>
      <c r="AC42" s="230"/>
      <c r="AD42" s="100"/>
    </row>
    <row r="43" spans="1:30">
      <c r="A43" s="1"/>
      <c r="B43" s="5">
        <f t="shared" si="45"/>
        <v>43250</v>
      </c>
      <c r="C43" s="38">
        <f t="shared" si="50"/>
        <v>43250</v>
      </c>
      <c r="D43" s="7">
        <f t="shared" ca="1" si="1"/>
        <v>-112</v>
      </c>
      <c r="E43" s="114" t="str">
        <f>IF(B43=0,"","Wednesday")</f>
        <v>Wednesday</v>
      </c>
      <c r="F43" s="55"/>
      <c r="G43" s="56"/>
      <c r="H43" s="56"/>
      <c r="I43" s="200"/>
      <c r="J43" s="56"/>
      <c r="K43" s="201" t="str">
        <f t="shared" ref="K43:K47" si="54">IF(R43=0,"",IF(L43="","",J43))</f>
        <v/>
      </c>
      <c r="L43" s="56"/>
      <c r="M43" s="56" t="str">
        <f t="shared" si="51"/>
        <v/>
      </c>
      <c r="N43" s="324"/>
      <c r="O43" s="259">
        <f t="shared" si="3"/>
        <v>2397.6941195718664</v>
      </c>
      <c r="P43" s="260">
        <f t="shared" si="47"/>
        <v>74324.164717431195</v>
      </c>
      <c r="Q43" s="169">
        <f t="shared" si="4"/>
        <v>46.182894897933686</v>
      </c>
      <c r="R43" s="169">
        <f t="shared" si="52"/>
        <v>0</v>
      </c>
      <c r="S43" s="368" t="str">
        <f t="shared" si="12"/>
        <v/>
      </c>
      <c r="T43" s="169"/>
      <c r="U43" s="169"/>
      <c r="V43" s="170" t="str">
        <f t="shared" si="48"/>
        <v/>
      </c>
      <c r="W43" s="170" t="str">
        <f t="shared" si="49"/>
        <v/>
      </c>
      <c r="X43" s="259">
        <f t="shared" si="53"/>
        <v>0</v>
      </c>
      <c r="Y43" s="259">
        <f t="shared" si="53"/>
        <v>0</v>
      </c>
      <c r="Z43" s="259">
        <f t="shared" si="53"/>
        <v>0</v>
      </c>
      <c r="AA43" s="348">
        <f t="shared" si="8"/>
        <v>0</v>
      </c>
      <c r="AB43" s="274">
        <f t="shared" si="13"/>
        <v>0</v>
      </c>
      <c r="AC43" s="230"/>
      <c r="AD43" s="100"/>
    </row>
    <row r="44" spans="1:30">
      <c r="A44" s="1"/>
      <c r="B44" s="5">
        <f t="shared" si="45"/>
        <v>43251</v>
      </c>
      <c r="C44" s="38">
        <f t="shared" si="50"/>
        <v>43251</v>
      </c>
      <c r="D44" s="7">
        <f t="shared" ca="1" si="1"/>
        <v>-113</v>
      </c>
      <c r="E44" s="114" t="str">
        <f>IF(B44=0,"","Thursday")</f>
        <v>Thursday</v>
      </c>
      <c r="F44" s="55"/>
      <c r="G44" s="56"/>
      <c r="H44" s="56"/>
      <c r="I44" s="200"/>
      <c r="J44" s="56"/>
      <c r="K44" s="201" t="str">
        <f t="shared" si="54"/>
        <v/>
      </c>
      <c r="L44" s="56"/>
      <c r="M44" s="56" t="str">
        <f t="shared" si="51"/>
        <v/>
      </c>
      <c r="N44" s="324"/>
      <c r="O44" s="259">
        <f t="shared" si="3"/>
        <v>2397.6941195718664</v>
      </c>
      <c r="P44" s="260">
        <f t="shared" si="47"/>
        <v>74324.164717431195</v>
      </c>
      <c r="Q44" s="169">
        <f t="shared" si="4"/>
        <v>46.182894897933686</v>
      </c>
      <c r="R44" s="169">
        <f t="shared" si="52"/>
        <v>0</v>
      </c>
      <c r="S44" s="368" t="str">
        <f t="shared" si="12"/>
        <v/>
      </c>
      <c r="T44" s="169"/>
      <c r="U44" s="169"/>
      <c r="V44" s="170" t="str">
        <f t="shared" si="48"/>
        <v/>
      </c>
      <c r="W44" s="170" t="str">
        <f t="shared" si="49"/>
        <v/>
      </c>
      <c r="X44" s="259">
        <f t="shared" si="53"/>
        <v>0</v>
      </c>
      <c r="Y44" s="259">
        <f t="shared" si="53"/>
        <v>0</v>
      </c>
      <c r="Z44" s="259">
        <f t="shared" si="53"/>
        <v>0</v>
      </c>
      <c r="AA44" s="348">
        <f t="shared" si="8"/>
        <v>0</v>
      </c>
      <c r="AB44" s="274">
        <f t="shared" si="13"/>
        <v>0</v>
      </c>
      <c r="AC44" s="352"/>
      <c r="AD44" s="174"/>
    </row>
    <row r="45" spans="1:30">
      <c r="A45" s="1"/>
      <c r="B45" s="5">
        <f t="shared" si="45"/>
        <v>0</v>
      </c>
      <c r="C45" s="38">
        <f t="shared" si="50"/>
        <v>43252</v>
      </c>
      <c r="D45" s="7">
        <f t="shared" ca="1" si="1"/>
        <v>-114</v>
      </c>
      <c r="E45" s="114" t="str">
        <f>IF(B45=0,"","Friday")</f>
        <v/>
      </c>
      <c r="F45" s="55"/>
      <c r="G45" s="56"/>
      <c r="H45" s="56"/>
      <c r="I45" s="200"/>
      <c r="J45" s="56"/>
      <c r="K45" s="201" t="str">
        <f t="shared" si="54"/>
        <v/>
      </c>
      <c r="L45" s="56"/>
      <c r="M45" s="56" t="str">
        <f t="shared" si="51"/>
        <v/>
      </c>
      <c r="N45" s="324"/>
      <c r="O45" s="259" t="str">
        <f t="shared" si="3"/>
        <v/>
      </c>
      <c r="P45" s="260">
        <f t="shared" si="47"/>
        <v>74324.164717431195</v>
      </c>
      <c r="Q45" s="169">
        <f t="shared" si="4"/>
        <v>46.182894897933686</v>
      </c>
      <c r="R45" s="169">
        <f t="shared" si="52"/>
        <v>0</v>
      </c>
      <c r="S45" s="368" t="str">
        <f t="shared" si="12"/>
        <v/>
      </c>
      <c r="T45" s="169"/>
      <c r="U45" s="169"/>
      <c r="V45" s="170" t="str">
        <f t="shared" si="48"/>
        <v/>
      </c>
      <c r="W45" s="170" t="str">
        <f t="shared" si="49"/>
        <v/>
      </c>
      <c r="X45" s="259">
        <f t="shared" si="53"/>
        <v>0</v>
      </c>
      <c r="Y45" s="259">
        <f t="shared" si="53"/>
        <v>0</v>
      </c>
      <c r="Z45" s="259">
        <f t="shared" si="53"/>
        <v>0</v>
      </c>
      <c r="AA45" s="348">
        <f t="shared" si="8"/>
        <v>0</v>
      </c>
      <c r="AB45" s="274">
        <f t="shared" si="13"/>
        <v>0</v>
      </c>
      <c r="AC45" s="230"/>
      <c r="AD45" s="100"/>
    </row>
    <row r="46" spans="1:30">
      <c r="A46" s="1"/>
      <c r="B46" s="5">
        <f t="shared" si="45"/>
        <v>0</v>
      </c>
      <c r="C46" s="38">
        <f t="shared" si="50"/>
        <v>43253</v>
      </c>
      <c r="D46" s="7">
        <f t="shared" ca="1" si="1"/>
        <v>-115</v>
      </c>
      <c r="E46" s="114" t="str">
        <f>IF(B46=0,"","Saturday")</f>
        <v/>
      </c>
      <c r="F46" s="55"/>
      <c r="G46" s="56"/>
      <c r="H46" s="56"/>
      <c r="I46" s="200"/>
      <c r="J46" s="56"/>
      <c r="K46" s="201" t="str">
        <f t="shared" si="54"/>
        <v/>
      </c>
      <c r="L46" s="56"/>
      <c r="M46" s="56" t="str">
        <f t="shared" si="51"/>
        <v/>
      </c>
      <c r="N46" s="324"/>
      <c r="O46" s="259" t="str">
        <f t="shared" si="3"/>
        <v/>
      </c>
      <c r="P46" s="260">
        <f t="shared" si="47"/>
        <v>74324.164717431195</v>
      </c>
      <c r="Q46" s="169">
        <f t="shared" si="4"/>
        <v>46.182894897933686</v>
      </c>
      <c r="R46" s="169">
        <f t="shared" si="52"/>
        <v>0</v>
      </c>
      <c r="S46" s="368" t="str">
        <f t="shared" si="12"/>
        <v/>
      </c>
      <c r="T46" s="169"/>
      <c r="U46" s="169"/>
      <c r="V46" s="170" t="str">
        <f t="shared" si="48"/>
        <v/>
      </c>
      <c r="W46" s="170" t="str">
        <f t="shared" si="49"/>
        <v/>
      </c>
      <c r="X46" s="259">
        <f t="shared" si="53"/>
        <v>0</v>
      </c>
      <c r="Y46" s="259">
        <f t="shared" si="53"/>
        <v>0</v>
      </c>
      <c r="Z46" s="259">
        <f t="shared" si="53"/>
        <v>0</v>
      </c>
      <c r="AA46" s="348">
        <f t="shared" si="8"/>
        <v>0</v>
      </c>
      <c r="AB46" s="274">
        <f t="shared" si="13"/>
        <v>0</v>
      </c>
      <c r="AC46" s="230"/>
      <c r="AD46" s="100"/>
    </row>
    <row r="47" spans="1:30" ht="16" thickBot="1">
      <c r="A47" s="1"/>
      <c r="B47" s="53">
        <f t="shared" si="45"/>
        <v>0</v>
      </c>
      <c r="C47" s="41">
        <f t="shared" si="50"/>
        <v>43254</v>
      </c>
      <c r="D47" s="54">
        <f t="shared" ca="1" si="1"/>
        <v>-116</v>
      </c>
      <c r="E47" s="117" t="str">
        <f>IF(B47=0,"","Sunday")</f>
        <v/>
      </c>
      <c r="F47" s="55"/>
      <c r="G47" s="56"/>
      <c r="H47" s="56"/>
      <c r="I47" s="200"/>
      <c r="J47" s="56"/>
      <c r="K47" s="201" t="str">
        <f t="shared" si="54"/>
        <v/>
      </c>
      <c r="L47" s="56"/>
      <c r="M47" s="56" t="str">
        <f t="shared" si="51"/>
        <v/>
      </c>
      <c r="N47" s="329"/>
      <c r="O47" s="259" t="str">
        <f t="shared" si="3"/>
        <v/>
      </c>
      <c r="P47" s="260">
        <f t="shared" si="47"/>
        <v>74324.164717431195</v>
      </c>
      <c r="Q47" s="169">
        <f t="shared" si="4"/>
        <v>46.182894897933686</v>
      </c>
      <c r="R47" s="169">
        <f t="shared" si="52"/>
        <v>0</v>
      </c>
      <c r="S47" s="368" t="str">
        <f t="shared" si="12"/>
        <v/>
      </c>
      <c r="T47" s="169"/>
      <c r="U47" s="169"/>
      <c r="V47" s="170" t="str">
        <f t="shared" si="48"/>
        <v/>
      </c>
      <c r="W47" s="170" t="str">
        <f t="shared" si="49"/>
        <v/>
      </c>
      <c r="X47" s="259">
        <f t="shared" si="53"/>
        <v>0</v>
      </c>
      <c r="Y47" s="259">
        <f t="shared" si="53"/>
        <v>0</v>
      </c>
      <c r="Z47" s="259">
        <f t="shared" si="53"/>
        <v>0</v>
      </c>
      <c r="AA47" s="348">
        <f t="shared" si="8"/>
        <v>0</v>
      </c>
      <c r="AB47" s="274">
        <f t="shared" si="13"/>
        <v>0</v>
      </c>
      <c r="AC47" s="230"/>
      <c r="AD47" s="100"/>
    </row>
    <row r="48" spans="1:30" ht="16" thickTop="1">
      <c r="A48" s="29"/>
      <c r="B48" s="16"/>
      <c r="C48" s="42"/>
      <c r="D48" s="60">
        <f ca="1">TODAY()-C48</f>
        <v>43138</v>
      </c>
      <c r="E48" s="113" t="s">
        <v>76</v>
      </c>
      <c r="F48" s="59">
        <f ca="1">G48*0.000568181818</f>
        <v>-1.2427401132386871E-58</v>
      </c>
      <c r="G48" s="19">
        <f ca="1">H48*1.0936113</f>
        <v>-2.1872226000000002E-55</v>
      </c>
      <c r="H48" s="20">
        <f ca="1">IF(SUM(B41:B47)=0,-1E-55,IF(TODAY()&gt;=B$41,(AA47-AA38)*1000,-2E-55))</f>
        <v>-2E-55</v>
      </c>
      <c r="I48" s="152"/>
      <c r="J48" s="432" t="s">
        <v>121</v>
      </c>
      <c r="K48" s="456"/>
      <c r="L48" s="456"/>
      <c r="M48" s="457"/>
      <c r="N48" s="457"/>
      <c r="O48" s="259" t="str">
        <f t="shared" si="3"/>
        <v/>
      </c>
      <c r="P48" s="230"/>
      <c r="Q48" s="169">
        <f t="shared" si="4"/>
        <v>0</v>
      </c>
      <c r="R48" s="350"/>
      <c r="S48" s="368" t="str">
        <f t="shared" si="12"/>
        <v/>
      </c>
      <c r="T48" s="350"/>
      <c r="U48" s="350"/>
      <c r="V48" s="350"/>
      <c r="W48" s="350"/>
      <c r="X48" s="259"/>
      <c r="Y48" s="259" t="str">
        <f>IF(A48=0,"",G48+Y36)</f>
        <v/>
      </c>
      <c r="Z48" s="259" t="str">
        <f>IF(B48=0,"",H48+Z36)</f>
        <v/>
      </c>
      <c r="AA48" s="348"/>
      <c r="AB48" s="274">
        <f t="shared" si="13"/>
        <v>0</v>
      </c>
      <c r="AC48" s="230"/>
      <c r="AD48" s="100"/>
    </row>
    <row r="49" spans="1:54" ht="19" thickBot="1">
      <c r="A49" s="28"/>
      <c r="B49" s="17"/>
      <c r="C49" s="39"/>
      <c r="D49" s="61">
        <f ca="1">TODAY()-C49</f>
        <v>43138</v>
      </c>
      <c r="E49" s="116" t="s">
        <v>33</v>
      </c>
      <c r="F49" s="62">
        <f>G49*0.0005681818</f>
        <v>5.9589386542003213</v>
      </c>
      <c r="G49" s="63">
        <f>H49*1.0936113</f>
        <v>10487.732367000001</v>
      </c>
      <c r="H49" s="6">
        <f>INT(SUM($O41:$O47))</f>
        <v>9590</v>
      </c>
      <c r="I49" s="153"/>
      <c r="J49" s="434" t="str">
        <f>IF(R$2=1,"MILES",IF(R$2=2,"YARDS",IF(R$2=3,"METRES","????")))</f>
        <v>MILES</v>
      </c>
      <c r="K49" s="441"/>
      <c r="L49" s="441"/>
      <c r="M49" s="442"/>
      <c r="N49" s="442"/>
      <c r="O49" s="259" t="str">
        <f t="shared" si="3"/>
        <v/>
      </c>
      <c r="P49" s="234"/>
      <c r="Q49" s="169">
        <f t="shared" si="4"/>
        <v>0</v>
      </c>
      <c r="R49" s="351"/>
      <c r="S49" s="368" t="str">
        <f t="shared" si="12"/>
        <v/>
      </c>
      <c r="T49" s="351"/>
      <c r="U49" s="351"/>
      <c r="V49" s="351"/>
      <c r="W49" s="351"/>
      <c r="X49" s="259"/>
      <c r="Y49" s="259" t="str">
        <f>IF(A49=0,"",G49+Y37)</f>
        <v/>
      </c>
      <c r="Z49" s="259" t="str">
        <f>IF(B49=0,"",H49+Z37)</f>
        <v/>
      </c>
      <c r="AA49" s="348"/>
      <c r="AB49" s="274">
        <f t="shared" si="13"/>
        <v>0</v>
      </c>
      <c r="AC49" s="234"/>
      <c r="AD49" s="171"/>
      <c r="AE49" s="13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</row>
    <row r="50" spans="1:54" ht="16" thickTop="1">
      <c r="A50" s="1" t="s">
        <v>22</v>
      </c>
      <c r="B50" s="57">
        <f t="shared" ref="B50:B51" si="55">IF(B$3&lt;C50,0,C50)</f>
        <v>0</v>
      </c>
      <c r="C50" s="40">
        <f>C47+1</f>
        <v>43255</v>
      </c>
      <c r="D50" s="22">
        <f t="shared" ca="1" si="1"/>
        <v>-117</v>
      </c>
      <c r="E50" s="118" t="str">
        <f>IF(B50=0,"","Monday")</f>
        <v/>
      </c>
      <c r="F50" s="55"/>
      <c r="G50" s="56"/>
      <c r="H50" s="56"/>
      <c r="I50" s="200"/>
      <c r="J50" s="128"/>
      <c r="K50" s="201" t="str">
        <f t="shared" ref="K50" si="56">IF(R50=0,"",IF(L50="","",J50))</f>
        <v/>
      </c>
      <c r="L50" s="128"/>
      <c r="M50" s="56" t="str">
        <f>IF(R50=0,"",IF(J50="","",L50))</f>
        <v/>
      </c>
      <c r="N50" s="330"/>
      <c r="O50" s="259" t="str">
        <f t="shared" si="3"/>
        <v/>
      </c>
      <c r="P50" s="260">
        <f>H$56</f>
        <v>74324.164717431195</v>
      </c>
      <c r="Q50" s="169">
        <f t="shared" si="4"/>
        <v>46.182894897933686</v>
      </c>
      <c r="R50" s="169">
        <f>IF(R$2=3,H50+G50/1.0936133+F50/0.0006213712,IF(R$2=2,H50*1.0936133+G50+F50/0.0005681818,IF(R$2=1,H50*0.0005681818*1.0936133+G50*0.0005681818+F50,"")))</f>
        <v>0</v>
      </c>
      <c r="S50" s="368" t="str">
        <f t="shared" si="12"/>
        <v/>
      </c>
      <c r="T50" s="169"/>
      <c r="U50" s="169"/>
      <c r="V50" s="170" t="str">
        <f>IF(L50="","",IF(R50=0,"",IF(B50=0,"",IF($R$2=3,R50/L50*60/1000,IF($R$2=2,R50/L50*60/1760,IF($R$2=1,R50/L50*60,""))))))</f>
        <v/>
      </c>
      <c r="W50" s="170" t="str">
        <f>IF(R50=0,"",IF(L50="","",V50*L50))</f>
        <v/>
      </c>
      <c r="X50" s="259">
        <f>F50+X47</f>
        <v>0</v>
      </c>
      <c r="Y50" s="259">
        <f>G50+Y47</f>
        <v>0</v>
      </c>
      <c r="Z50" s="259">
        <f>H50+Z47</f>
        <v>0</v>
      </c>
      <c r="AA50" s="348">
        <f t="shared" si="8"/>
        <v>0</v>
      </c>
      <c r="AB50" s="274">
        <f t="shared" si="13"/>
        <v>0</v>
      </c>
      <c r="AC50" s="230"/>
      <c r="AD50" s="100"/>
    </row>
    <row r="51" spans="1:54" ht="16" thickBot="1">
      <c r="A51" s="1"/>
      <c r="B51" s="5">
        <f t="shared" si="55"/>
        <v>0</v>
      </c>
      <c r="C51" s="38">
        <f t="shared" ref="C51" si="57">C50+1</f>
        <v>43256</v>
      </c>
      <c r="D51" s="7">
        <f t="shared" ca="1" si="1"/>
        <v>-118</v>
      </c>
      <c r="E51" s="114" t="str">
        <f>IF(B51=0,"","Tuesday")</f>
        <v/>
      </c>
      <c r="F51" s="55"/>
      <c r="G51" s="56"/>
      <c r="H51" s="56"/>
      <c r="I51" s="200"/>
      <c r="J51" s="56"/>
      <c r="K51" s="201" t="str">
        <f>IF(R51=0,"",IF(L51="","",J51))</f>
        <v/>
      </c>
      <c r="L51" s="56"/>
      <c r="M51" s="56" t="str">
        <f t="shared" ref="M51" si="58">IF(R51=0,"",IF(J51="","",L51))</f>
        <v/>
      </c>
      <c r="N51" s="329"/>
      <c r="O51" s="259" t="str">
        <f t="shared" si="3"/>
        <v/>
      </c>
      <c r="P51" s="260">
        <f>H$56</f>
        <v>74324.164717431195</v>
      </c>
      <c r="Q51" s="169">
        <f t="shared" si="4"/>
        <v>46.182894897933686</v>
      </c>
      <c r="R51" s="169">
        <f>IF(R$2=3,H51+G51/1.0936133+F51/0.0006213712,IF(R$2=2,H51*1.0936133+G51+F51/0.0005681818,IF(R$2=1,H51*0.0005681818*1.0936133+G51*0.0005681818+F51,"")))</f>
        <v>0</v>
      </c>
      <c r="S51" s="368" t="str">
        <f t="shared" si="12"/>
        <v/>
      </c>
      <c r="T51" s="169"/>
      <c r="U51" s="169"/>
      <c r="V51" s="170" t="str">
        <f>IF(L51="","",IF(R51=0,"",IF(B51=0,"",IF($R$2=3,R51/L51*60/1000,IF($R$2=2,R51/L51*60/1760,IF($R$2=1,R51/L51*60,""))))))</f>
        <v/>
      </c>
      <c r="W51" s="170" t="str">
        <f>IF(R51=0,"",IF(L51="","",V51*L51))</f>
        <v/>
      </c>
      <c r="X51" s="259">
        <f>F51+X50</f>
        <v>0</v>
      </c>
      <c r="Y51" s="259">
        <f>G51+Y50</f>
        <v>0</v>
      </c>
      <c r="Z51" s="259">
        <f>H51+Z50</f>
        <v>0</v>
      </c>
      <c r="AA51" s="348">
        <f t="shared" si="8"/>
        <v>0</v>
      </c>
      <c r="AB51" s="274">
        <f t="shared" si="13"/>
        <v>0</v>
      </c>
      <c r="AC51" s="230"/>
      <c r="AD51" s="100"/>
    </row>
    <row r="52" spans="1:54" ht="17" thickTop="1" thickBot="1">
      <c r="A52" s="29"/>
      <c r="B52" s="16"/>
      <c r="C52" s="42"/>
      <c r="D52" s="60"/>
      <c r="E52" s="113" t="s">
        <v>76</v>
      </c>
      <c r="F52" s="59">
        <f ca="1">G52*0.000568181818</f>
        <v>-6.2137005661934355E-59</v>
      </c>
      <c r="G52" s="19">
        <f ca="1">H52*1.0936113</f>
        <v>-1.0936113000000001E-55</v>
      </c>
      <c r="H52" s="129">
        <f ca="1">IF(SUM(B50:B51)=0,-1E-55,IF(TODAY()&gt;=B50,(AA51-AA47)*1000,-2E-55))</f>
        <v>-9.9999999999999999E-56</v>
      </c>
      <c r="I52" s="137"/>
      <c r="J52" s="422" t="s">
        <v>120</v>
      </c>
      <c r="K52" s="423"/>
      <c r="L52" s="423"/>
      <c r="M52" s="147"/>
      <c r="N52" s="332" t="str">
        <f>IF(R$2=1,"Distance (miles)",IF(R$2=2,"Distance (yds)",IF(R$2=3,"Distance (km)","????")))</f>
        <v>Distance (miles)</v>
      </c>
      <c r="O52" s="259"/>
      <c r="P52" s="234" t="s">
        <v>1</v>
      </c>
      <c r="Q52" s="234" t="s">
        <v>2</v>
      </c>
      <c r="R52" s="234" t="s">
        <v>3</v>
      </c>
      <c r="S52" s="234" t="s">
        <v>4</v>
      </c>
      <c r="T52" s="234" t="s">
        <v>5</v>
      </c>
      <c r="U52" s="234" t="s">
        <v>6</v>
      </c>
      <c r="V52" s="234" t="s">
        <v>7</v>
      </c>
      <c r="W52" s="259"/>
      <c r="X52" s="259"/>
      <c r="Y52" s="259"/>
      <c r="Z52" s="348"/>
      <c r="AA52" s="274"/>
      <c r="AB52" s="226"/>
      <c r="AC52" s="100"/>
    </row>
    <row r="53" spans="1:54" ht="16" thickBot="1">
      <c r="A53" s="28"/>
      <c r="B53" s="17"/>
      <c r="C53" s="39"/>
      <c r="D53" s="61"/>
      <c r="E53" s="116" t="s">
        <v>33</v>
      </c>
      <c r="F53" s="62">
        <f>G53*0.0005681818</f>
        <v>-6.2137003693434006E-59</v>
      </c>
      <c r="G53" s="63">
        <f>H53*1.0936113</f>
        <v>-1.0936113000000001E-55</v>
      </c>
      <c r="H53" s="131">
        <f>IF(SUM($O50:$O51)=0,-1E-55,SUM($O50:$O51))</f>
        <v>-9.9999999999999999E-56</v>
      </c>
      <c r="I53" s="136"/>
      <c r="J53" s="158" t="str">
        <f>'MY STATS'!AF44</f>
        <v/>
      </c>
      <c r="K53" s="159" t="str">
        <f>IF(J53="","x",J53)</f>
        <v>x</v>
      </c>
      <c r="L53" s="206" t="str">
        <f>IF(J53="","",SUMIF(K$5:K$51,K53,M$5:M$51)/1440)</f>
        <v/>
      </c>
      <c r="M53" s="207" t="str">
        <f>IF(J53="","",IF('MY STATS'!$A$15=3,SUMIF(K$5:K$51,J53,R$5:R$51)/1000,SUMIF(K$5:K$51,J53,R$5:R$51)))</f>
        <v/>
      </c>
      <c r="N53" s="333" t="str">
        <f>IF(J53="","",IF('MY STATS'!$A$15=3,SUMIF(J$5:J$51,J53,R$5:R$51)/1000,SUMIF(J$5:J$51,J53,R$5:R$51)))</f>
        <v/>
      </c>
      <c r="O53" s="353" t="s">
        <v>58</v>
      </c>
      <c r="P53" s="234">
        <f t="shared" ref="P53:V53" si="59">COUNTIFS($E$5:$E$51,P52)</f>
        <v>4</v>
      </c>
      <c r="Q53" s="234">
        <f t="shared" si="59"/>
        <v>5</v>
      </c>
      <c r="R53" s="234">
        <f t="shared" si="59"/>
        <v>5</v>
      </c>
      <c r="S53" s="234">
        <f t="shared" si="59"/>
        <v>5</v>
      </c>
      <c r="T53" s="234">
        <f t="shared" si="59"/>
        <v>4</v>
      </c>
      <c r="U53" s="234">
        <f t="shared" si="59"/>
        <v>4</v>
      </c>
      <c r="V53" s="234">
        <f t="shared" si="59"/>
        <v>4</v>
      </c>
      <c r="W53" s="259"/>
      <c r="X53" s="259"/>
      <c r="Y53" s="259"/>
      <c r="Z53" s="348"/>
      <c r="AA53" s="274"/>
      <c r="AB53" s="226"/>
      <c r="AC53" s="174"/>
      <c r="AD53" s="12"/>
    </row>
    <row r="54" spans="1:54" ht="17" thickTop="1" thickBot="1">
      <c r="A54" s="11"/>
      <c r="B54" s="11"/>
      <c r="C54" s="11"/>
      <c r="D54" s="11"/>
      <c r="E54" s="11"/>
      <c r="F54" s="11" t="s">
        <v>34</v>
      </c>
      <c r="G54" s="11" t="s">
        <v>35</v>
      </c>
      <c r="H54" s="11" t="s">
        <v>37</v>
      </c>
      <c r="I54" s="135"/>
      <c r="J54" s="160" t="str">
        <f>'MY STATS'!AG44</f>
        <v/>
      </c>
      <c r="K54" s="161" t="str">
        <f t="shared" ref="K54:K59" si="60">IF(J54="","x",J54)</f>
        <v>x</v>
      </c>
      <c r="L54" s="208" t="str">
        <f>IF(J54="","",SUMIF(K$5:K$51,K54,M$5:M$51)/1440)</f>
        <v/>
      </c>
      <c r="M54" s="209" t="str">
        <f>IF(J54="","",IF('MY STATS'!$A$15=3,SUMIF(K$5:K$51,J54,R$5:R$51)/1000,SUMIF(K$5:K$51,J54,R$5:R$51)))</f>
        <v/>
      </c>
      <c r="N54" s="334" t="str">
        <f>IF(J54="","",IF('MY STATS'!$A$15=3,SUMIF(J$5:J$51,J54,R$5:R$51)/1000,SUMIF(J$5:J$51,J54,R$5:R$51)))</f>
        <v/>
      </c>
      <c r="O54" s="353" t="s">
        <v>57</v>
      </c>
      <c r="P54" s="234">
        <f t="shared" ref="P54:V54" ca="1" si="61">COUNTIFS($D$5:$D$51,"&gt;-1",$E$5:$E$51,P52)</f>
        <v>0</v>
      </c>
      <c r="Q54" s="234">
        <f t="shared" ca="1" si="61"/>
        <v>0</v>
      </c>
      <c r="R54" s="234">
        <f t="shared" ca="1" si="61"/>
        <v>0</v>
      </c>
      <c r="S54" s="234">
        <f t="shared" ca="1" si="61"/>
        <v>0</v>
      </c>
      <c r="T54" s="234">
        <f t="shared" ca="1" si="61"/>
        <v>0</v>
      </c>
      <c r="U54" s="234">
        <f t="shared" ca="1" si="61"/>
        <v>0</v>
      </c>
      <c r="V54" s="234">
        <f t="shared" ca="1" si="61"/>
        <v>0</v>
      </c>
      <c r="W54" s="259"/>
      <c r="X54" s="259"/>
      <c r="Y54" s="259"/>
      <c r="Z54" s="348"/>
      <c r="AA54" s="274"/>
      <c r="AB54" s="226"/>
      <c r="AC54" s="100"/>
    </row>
    <row r="55" spans="1:54" ht="16" thickTop="1">
      <c r="A55" s="30"/>
      <c r="B55" s="58"/>
      <c r="C55" s="43"/>
      <c r="D55" s="43"/>
      <c r="E55" s="18" t="s">
        <v>36</v>
      </c>
      <c r="F55" s="88">
        <f>G55*0.000568181818</f>
        <v>0</v>
      </c>
      <c r="G55" s="89">
        <f>H55*1.0936113</f>
        <v>0</v>
      </c>
      <c r="H55" s="132">
        <f>AA$51*1000</f>
        <v>0</v>
      </c>
      <c r="I55" s="138"/>
      <c r="J55" s="160" t="str">
        <f>'MY STATS'!AH44</f>
        <v/>
      </c>
      <c r="K55" s="161" t="str">
        <f t="shared" si="60"/>
        <v>x</v>
      </c>
      <c r="L55" s="208" t="str">
        <f>IF(J55="","",SUMIF(K$5:K$51,K55,M$5:M$51)/1440)</f>
        <v/>
      </c>
      <c r="M55" s="209" t="str">
        <f>IF(J55="","",IF('MY STATS'!$A$15=3,SUMIF(K$5:K$51,J55,R$5:R$51)/1000,SUMIF(K$5:K$51,J55,R$5:R$51)))</f>
        <v/>
      </c>
      <c r="N55" s="334" t="str">
        <f>IF(J55="","",IF('MY STATS'!$A$15=3,SUMIF(J$5:J$51,J55,R$5:R$51)/1000,SUMIF(J$5:J$51,J55,R$5:R$51)))</f>
        <v/>
      </c>
      <c r="O55" s="353" t="s">
        <v>80</v>
      </c>
      <c r="P55" s="234">
        <f t="shared" ref="P55:V55" si="62">COUNTIFS($E$5:$E$51,P52,$R$5:$R$51,"&gt;0")</f>
        <v>0</v>
      </c>
      <c r="Q55" s="234">
        <f t="shared" si="62"/>
        <v>0</v>
      </c>
      <c r="R55" s="234">
        <f t="shared" si="62"/>
        <v>0</v>
      </c>
      <c r="S55" s="234">
        <f t="shared" si="62"/>
        <v>0</v>
      </c>
      <c r="T55" s="234">
        <f t="shared" si="62"/>
        <v>0</v>
      </c>
      <c r="U55" s="234">
        <f t="shared" si="62"/>
        <v>0</v>
      </c>
      <c r="V55" s="234">
        <f t="shared" si="62"/>
        <v>0</v>
      </c>
      <c r="W55" s="259"/>
      <c r="X55" s="259"/>
      <c r="Y55" s="259"/>
      <c r="Z55" s="348"/>
      <c r="AA55" s="274"/>
      <c r="AB55" s="226"/>
      <c r="AC55" s="100"/>
    </row>
    <row r="56" spans="1:54" ht="16" thickBot="1">
      <c r="A56" s="31"/>
      <c r="B56" s="44"/>
      <c r="C56" s="44"/>
      <c r="D56" s="44"/>
      <c r="E56" s="21" t="s">
        <v>51</v>
      </c>
      <c r="F56" s="47">
        <f>G56*0.000568181818</f>
        <v>46.182810438655636</v>
      </c>
      <c r="G56" s="48">
        <f>H56*1.0936113</f>
        <v>81281.746398044066</v>
      </c>
      <c r="H56" s="133">
        <f>SUM(H$53,H40,H31,H22,H49,H13)-1</f>
        <v>74324.164717431195</v>
      </c>
      <c r="I56" s="139"/>
      <c r="J56" s="160" t="str">
        <f>'MY STATS'!AI44</f>
        <v/>
      </c>
      <c r="K56" s="161" t="str">
        <f t="shared" si="60"/>
        <v>x</v>
      </c>
      <c r="L56" s="208" t="str">
        <f>IF(J56="","",SUMIF(K$5:K$51,K56,M$5:M$51)/1440)</f>
        <v/>
      </c>
      <c r="M56" s="209" t="str">
        <f>IF(J56="","",IF('MY STATS'!$A$15=3,SUMIF(K$5:K$51,J56,R$5:R$51)/1000,SUMIF(K$5:K$51,J56,R$5:R$51)))</f>
        <v/>
      </c>
      <c r="N56" s="334" t="str">
        <f>IF(J56="","",IF('MY STATS'!$A$15=3,SUMIF(J$5:J$51,J56,R$5:R$51)/1000,SUMIF(J$5:J$51,J56,R$5:R$51)))</f>
        <v/>
      </c>
      <c r="O56" s="353" t="s">
        <v>136</v>
      </c>
      <c r="P56" s="234"/>
      <c r="Q56" s="234"/>
      <c r="R56" s="234"/>
      <c r="S56" s="234"/>
      <c r="T56" s="234"/>
      <c r="U56" s="234"/>
      <c r="V56" s="234"/>
      <c r="W56" s="259"/>
      <c r="X56" s="259"/>
      <c r="Y56" s="259"/>
      <c r="Z56" s="348"/>
      <c r="AA56" s="274"/>
      <c r="AB56" s="226"/>
      <c r="AC56" s="100"/>
      <c r="AF56" s="15"/>
    </row>
    <row r="57" spans="1:54" ht="17" thickTop="1" thickBot="1">
      <c r="A57" s="49"/>
      <c r="B57" s="49"/>
      <c r="C57" s="49"/>
      <c r="D57" s="49"/>
      <c r="E57" s="49"/>
      <c r="F57" s="49"/>
      <c r="G57" s="49"/>
      <c r="H57" s="49"/>
      <c r="I57" s="140"/>
      <c r="J57" s="160" t="str">
        <f>'MY STATS'!AJ44</f>
        <v/>
      </c>
      <c r="K57" s="161" t="str">
        <f>IF(J57="","x",J57)</f>
        <v>x</v>
      </c>
      <c r="L57" s="208" t="str">
        <f>IF(J57="","",SUMIF(K$5:K$51,K57,M$5:M$51)/1440)</f>
        <v/>
      </c>
      <c r="M57" s="209" t="str">
        <f>IF(J57="","",IF('MY STATS'!$A$15=3,SUMIF(K$5:K$51,J57,R$5:R$51)/1000,SUMIF(K$5:K$51,J57,R$5:R$51)))</f>
        <v/>
      </c>
      <c r="N57" s="334" t="str">
        <f>IF(J57="","",IF('MY STATS'!$A$15=3,SUMIF(J$5:J$51,J57,R$5:R$51)/1000,SUMIF(J$5:J$51,J57,R$5:R$51)))</f>
        <v/>
      </c>
      <c r="O57" s="353" t="s">
        <v>126</v>
      </c>
      <c r="P57" s="339">
        <f t="shared" ref="P57:V57" si="63">SUMIF($E$5:$E$51,P52,$S$5:$S$51)</f>
        <v>0</v>
      </c>
      <c r="Q57" s="339">
        <f t="shared" si="63"/>
        <v>0</v>
      </c>
      <c r="R57" s="339">
        <f t="shared" si="63"/>
        <v>0</v>
      </c>
      <c r="S57" s="339">
        <f t="shared" si="63"/>
        <v>0</v>
      </c>
      <c r="T57" s="339">
        <f t="shared" si="63"/>
        <v>0</v>
      </c>
      <c r="U57" s="339">
        <f t="shared" si="63"/>
        <v>0</v>
      </c>
      <c r="V57" s="339">
        <f t="shared" si="63"/>
        <v>0</v>
      </c>
      <c r="W57" s="230"/>
      <c r="X57" s="230"/>
      <c r="Y57" s="230"/>
      <c r="Z57" s="234"/>
      <c r="AA57" s="230"/>
      <c r="AB57" s="226"/>
      <c r="AC57" s="100"/>
    </row>
    <row r="58" spans="1:54" ht="17" thickTop="1" thickBot="1">
      <c r="A58" s="77">
        <f>A1</f>
        <v>5</v>
      </c>
      <c r="B58" s="78"/>
      <c r="C58" s="79"/>
      <c r="D58" s="71"/>
      <c r="E58" s="72" t="s">
        <v>91</v>
      </c>
      <c r="F58" s="90">
        <f>G58*0.000568181818</f>
        <v>0</v>
      </c>
      <c r="G58" s="91">
        <f>H58*1.0936113</f>
        <v>0</v>
      </c>
      <c r="H58" s="92">
        <f>H$55+G$3</f>
        <v>0</v>
      </c>
      <c r="I58" s="140"/>
      <c r="J58" s="162" t="s">
        <v>112</v>
      </c>
      <c r="K58" s="163"/>
      <c r="L58" s="210">
        <f>L59-SUM(L53:L57)</f>
        <v>0</v>
      </c>
      <c r="M58" s="211">
        <f>(M59-SUM(M53:M57))</f>
        <v>0</v>
      </c>
      <c r="N58" s="335">
        <f>(N59-SUM(N53:N57))</f>
        <v>0</v>
      </c>
      <c r="O58" s="353" t="s">
        <v>127</v>
      </c>
      <c r="P58" s="354">
        <f>IF(COUNTIFS($E$5:$E$51,P52,$L$5:$L$51,"&gt;0")=0,0,(SUMIF($E$5:$E$51,P52,$L$5:$L$51)+IF(SUMIF($E$5:$E$51,P52,$R$5:$R$51)=0,-SUMIF($E$5:$E$51,P52,$L$5:$L$51)))/60)</f>
        <v>0</v>
      </c>
      <c r="Q58" s="354">
        <f t="shared" ref="Q58:V58" si="64">IF(COUNTIFS($E$5:$E$51,Q52,$L$5:$L$51,"&gt;0")=0,0,(SUMIF($E$5:$E$51,Q52,$L$5:$L$51)+IF(SUMIF($E$5:$E$51,Q52,$R$5:$R$51)=0,-SUMIF($E$5:$E$51,Q52,$L$5:$L$51)))/60)</f>
        <v>0</v>
      </c>
      <c r="R58" s="354">
        <f t="shared" si="64"/>
        <v>0</v>
      </c>
      <c r="S58" s="354">
        <f t="shared" si="64"/>
        <v>0</v>
      </c>
      <c r="T58" s="354">
        <f t="shared" si="64"/>
        <v>0</v>
      </c>
      <c r="U58" s="354">
        <f t="shared" si="64"/>
        <v>0</v>
      </c>
      <c r="V58" s="354">
        <f t="shared" si="64"/>
        <v>0</v>
      </c>
      <c r="W58" s="230"/>
      <c r="X58" s="230"/>
      <c r="Y58" s="230"/>
      <c r="Z58" s="234"/>
      <c r="AA58" s="230"/>
      <c r="AB58" s="226"/>
      <c r="AC58" s="100"/>
    </row>
    <row r="59" spans="1:54" ht="17" thickTop="1" thickBot="1">
      <c r="A59" s="80">
        <f>A1</f>
        <v>5</v>
      </c>
      <c r="B59" s="81"/>
      <c r="C59" s="82"/>
      <c r="D59" s="73"/>
      <c r="E59" s="74" t="s">
        <v>63</v>
      </c>
      <c r="F59" s="75">
        <f>G59*0.000568181818</f>
        <v>150.9997238512004</v>
      </c>
      <c r="G59" s="76">
        <f>H59*1.0936113</f>
        <v>265759.51406315574</v>
      </c>
      <c r="H59" s="134">
        <f>VLOOKUP($A$1,'MY STATS'!B$29:K$40,10)</f>
        <v>243010.94370838683</v>
      </c>
      <c r="I59" s="138"/>
      <c r="J59" s="164" t="s">
        <v>68</v>
      </c>
      <c r="K59" s="165" t="str">
        <f t="shared" si="60"/>
        <v>total</v>
      </c>
      <c r="L59" s="212">
        <f>(SUM(L5:L51)-L40)/1440</f>
        <v>0</v>
      </c>
      <c r="M59" s="213">
        <f>IF('MY STATS'!$A$15=3,SUM(R5:R51)/1000,SUM(R5:R51))</f>
        <v>0</v>
      </c>
      <c r="N59" s="336">
        <f>IF('MY STATS'!$A$15=3,SUM(R5:R51)/1000,SUM(R5:R51))</f>
        <v>0</v>
      </c>
      <c r="O59" s="353" t="s">
        <v>111</v>
      </c>
      <c r="P59" s="235">
        <f>IFERROR(IF('MY STATS'!$A15=1,P57/P58,IF('MY STATS'!$A15=2,P57/1760/P58,IF('MY STATS'!$A15=3,P57/1000/P58,0))),0)</f>
        <v>0</v>
      </c>
      <c r="Q59" s="235">
        <f>IFERROR(IF('MY STATS'!$A15=1,Q57/Q58,IF('MY STATS'!$A15=2,Q57/1760/Q58,IF('MY STATS'!$A15=3,Q57/1000/Q58,0))),0)</f>
        <v>0</v>
      </c>
      <c r="R59" s="235">
        <f>IFERROR(IF('MY STATS'!$A15=1,R57/R58,IF('MY STATS'!$A15=2,R57/1760/R58,IF('MY STATS'!$A15=3,R57/1000/R58,0))),0)</f>
        <v>0</v>
      </c>
      <c r="S59" s="235">
        <f>IFERROR(IF('MY STATS'!$A15=1,S57/S58,IF('MY STATS'!$A15=2,S57/1760/S58,IF('MY STATS'!$A15=3,S57/1000/S58,0))),0)</f>
        <v>0</v>
      </c>
      <c r="T59" s="235">
        <f>IFERROR(IF('MY STATS'!$A15=1,T57/T58,IF('MY STATS'!$A15=2,T57/1760/T58,IF('MY STATS'!$A15=3,T57/1000/T58,0))),0)</f>
        <v>0</v>
      </c>
      <c r="U59" s="235">
        <f>IFERROR(IF('MY STATS'!$A15=1,U57/U58,IF('MY STATS'!$A15=2,U57/1760/U58,IF('MY STATS'!$A15=3,U57/1000/U58,0))),0)</f>
        <v>0</v>
      </c>
      <c r="V59" s="235">
        <f>IFERROR(IF('MY STATS'!$A15=1,V57/V58,IF('MY STATS'!$A15=2,V57/1760/V58,IF('MY STATS'!$A15=3,V57/1000/V58,0))),0)</f>
        <v>0</v>
      </c>
      <c r="W59" s="230"/>
      <c r="X59" s="230"/>
      <c r="Y59" s="230"/>
      <c r="Z59" s="234"/>
      <c r="AA59" s="230"/>
      <c r="AB59" s="226"/>
      <c r="AC59" s="100"/>
    </row>
    <row r="60" spans="1:54" ht="16" thickTop="1">
      <c r="O60" s="230"/>
      <c r="P60" s="230"/>
      <c r="Q60" s="230"/>
      <c r="R60" s="230"/>
      <c r="S60" s="100"/>
      <c r="T60" s="230"/>
      <c r="U60" s="230"/>
      <c r="V60" s="230"/>
      <c r="W60" s="230"/>
      <c r="X60" s="230"/>
      <c r="Y60" s="230"/>
      <c r="Z60" s="230"/>
      <c r="AA60" s="234"/>
      <c r="AB60" s="230"/>
      <c r="AC60" s="230"/>
      <c r="AD60" s="100"/>
    </row>
    <row r="61" spans="1:54"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20"/>
      <c r="AB61" s="100"/>
      <c r="AC61" s="100"/>
      <c r="AD61" s="100"/>
    </row>
    <row r="62" spans="1:54" ht="6.75" customHeight="1"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20"/>
      <c r="AB62" s="100"/>
      <c r="AC62" s="100"/>
    </row>
    <row r="63" spans="1:54"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20"/>
      <c r="AB63" s="100"/>
      <c r="AC63" s="100"/>
    </row>
    <row r="64" spans="1:54">
      <c r="O64" s="100"/>
      <c r="P64" s="100"/>
      <c r="Q64" s="100"/>
      <c r="R64" s="100"/>
      <c r="S64" s="100"/>
      <c r="T64" s="100"/>
      <c r="U64" s="100"/>
      <c r="V64" s="100"/>
      <c r="W64" s="100"/>
      <c r="X64" s="120"/>
      <c r="Y64" s="100"/>
      <c r="Z64" s="100"/>
      <c r="AA64" s="100"/>
      <c r="AB64" s="100"/>
      <c r="AC64" s="100"/>
    </row>
    <row r="65" spans="19:26">
      <c r="S65" s="97"/>
    </row>
    <row r="66" spans="19:26" s="3" customFormat="1">
      <c r="S66" s="97"/>
      <c r="Z66" s="8"/>
    </row>
  </sheetData>
  <sheetProtection sheet="1" objects="1" scenarios="1" selectLockedCells="1"/>
  <mergeCells count="8">
    <mergeCell ref="J49:N49"/>
    <mergeCell ref="J52:L52"/>
    <mergeCell ref="J12:N12"/>
    <mergeCell ref="J13:N13"/>
    <mergeCell ref="J21:N22"/>
    <mergeCell ref="J30:N30"/>
    <mergeCell ref="J31:N31"/>
    <mergeCell ref="J48:N48"/>
  </mergeCells>
  <conditionalFormatting sqref="K5:K11 K50:K51 K14:K20 K23:K29 K32:K38">
    <cfRule type="cellIs" dxfId="9207" priority="1205" stopIfTrue="1" operator="lessThan">
      <formula>0</formula>
    </cfRule>
  </conditionalFormatting>
  <conditionalFormatting sqref="B14:B20 B23:B29 B49:B51 B40:B47 B53 B31:B38 D3 B5:B11">
    <cfRule type="cellIs" dxfId="9206" priority="1206" stopIfTrue="1" operator="notBetween">
      <formula>$B$2</formula>
      <formula>$B$3</formula>
    </cfRule>
  </conditionalFormatting>
  <conditionalFormatting sqref="B14:B20 B23:B29 B49:B51 B40:B47 B53 B31:B38 D3 B5:B11">
    <cfRule type="cellIs" dxfId="9205" priority="1207" operator="greaterThan">
      <formula>$E$3</formula>
    </cfRule>
    <cfRule type="cellIs" dxfId="9204" priority="1208" operator="equal">
      <formula>$E$3</formula>
    </cfRule>
    <cfRule type="cellIs" dxfId="9203" priority="1209" operator="lessThan">
      <formula>$E$3</formula>
    </cfRule>
  </conditionalFormatting>
  <conditionalFormatting sqref="F58:H58 F55:H55">
    <cfRule type="expression" dxfId="9202" priority="1204">
      <formula>$F55&gt;=$F56</formula>
    </cfRule>
  </conditionalFormatting>
  <conditionalFormatting sqref="F5:H10 F14:G20 F23:G29 F38:H38 F41:H47 F11:G11 F32:G37">
    <cfRule type="cellIs" dxfId="9201" priority="1194" stopIfTrue="1" operator="lessThan">
      <formula>0</formula>
    </cfRule>
  </conditionalFormatting>
  <conditionalFormatting sqref="C32:C38 C41:C47 C50:C51 C14:C20 C23:C29 C5:C11">
    <cfRule type="cellIs" dxfId="9200" priority="1199" stopIfTrue="1" operator="notBetween">
      <formula>$B$2</formula>
      <formula>$B$3</formula>
    </cfRule>
  </conditionalFormatting>
  <conditionalFormatting sqref="C41:C47 C50:C51 C32:C38 C14:C20 C23:C29 C5:C11">
    <cfRule type="cellIs" dxfId="9199" priority="1200" operator="greaterThan">
      <formula>$E$3</formula>
    </cfRule>
    <cfRule type="cellIs" dxfId="9198" priority="1201" operator="equal">
      <formula>$E$3</formula>
    </cfRule>
    <cfRule type="cellIs" dxfId="9197" priority="1202" operator="lessThan">
      <formula>$E$3</formula>
    </cfRule>
  </conditionalFormatting>
  <conditionalFormatting sqref="F14:G20 F23:G29 F38:H38 F41:H47 K5:K11 F32:G37 K14:K20 K23:K29 K32:K38 K41:K47 K50:K51">
    <cfRule type="expression" dxfId="9196" priority="1198">
      <formula>$C5&lt;$E$3</formula>
    </cfRule>
  </conditionalFormatting>
  <conditionalFormatting sqref="F5:H10 F14:G20 F23:G29 F38:H38 F41:H47 F11:G11 K5:K11 F32:G37 K14:K20 K23:K29 K32:K38 K41:K47 K50:K51">
    <cfRule type="expression" dxfId="9195" priority="1195">
      <formula>$C5=$E$3</formula>
    </cfRule>
    <cfRule type="expression" dxfId="9194" priority="1196">
      <formula>$C5&lt;$E$3</formula>
    </cfRule>
    <cfRule type="cellIs" dxfId="9193" priority="1197" operator="equal">
      <formula>0</formula>
    </cfRule>
    <cfRule type="expression" dxfId="9192" priority="1203">
      <formula>$C5&gt;$E$3</formula>
    </cfRule>
  </conditionalFormatting>
  <conditionalFormatting sqref="F12:G12">
    <cfRule type="expression" dxfId="9191" priority="1193">
      <formula>$F12&gt;=$F13</formula>
    </cfRule>
  </conditionalFormatting>
  <conditionalFormatting sqref="F21:G21">
    <cfRule type="expression" dxfId="9190" priority="1192">
      <formula>$F21&gt;=$F22</formula>
    </cfRule>
  </conditionalFormatting>
  <conditionalFormatting sqref="F39:H39">
    <cfRule type="expression" dxfId="9189" priority="1191">
      <formula>$F39&gt;=$F40</formula>
    </cfRule>
  </conditionalFormatting>
  <conditionalFormatting sqref="F30:G30">
    <cfRule type="expression" dxfId="9188" priority="1190">
      <formula>$F30&gt;=$F31</formula>
    </cfRule>
  </conditionalFormatting>
  <conditionalFormatting sqref="F48:H48">
    <cfRule type="expression" dxfId="9187" priority="1188" stopIfTrue="1">
      <formula>$H$48=-1E-55</formula>
    </cfRule>
    <cfRule type="expression" dxfId="9186" priority="1189">
      <formula>$F48&gt;=$F49</formula>
    </cfRule>
  </conditionalFormatting>
  <conditionalFormatting sqref="F14:G20 F23:G29 F38:H38 F41:H47 F32:G37">
    <cfRule type="expression" dxfId="9185" priority="1187">
      <formula>$C14&lt;$E$3</formula>
    </cfRule>
  </conditionalFormatting>
  <conditionalFormatting sqref="F14:G20 F5:H10 F23:G29 F38:H38 F41:H47 F11:G11 F32:G37">
    <cfRule type="expression" dxfId="9184" priority="1183">
      <formula>$C5=$E$3</formula>
    </cfRule>
    <cfRule type="expression" dxfId="9183" priority="1184">
      <formula>$C5&lt;$E$3</formula>
    </cfRule>
    <cfRule type="cellIs" dxfId="9182" priority="1185" operator="equal">
      <formula>0</formula>
    </cfRule>
    <cfRule type="expression" dxfId="9181" priority="1186">
      <formula>$C5&gt;$E$3</formula>
    </cfRule>
  </conditionalFormatting>
  <conditionalFormatting sqref="F12:G12">
    <cfRule type="expression" dxfId="9180" priority="1182">
      <formula>$F12&gt;=$F13</formula>
    </cfRule>
  </conditionalFormatting>
  <conditionalFormatting sqref="F21:G21">
    <cfRule type="expression" dxfId="9179" priority="1181">
      <formula>$F21&gt;=$F22</formula>
    </cfRule>
  </conditionalFormatting>
  <conditionalFormatting sqref="F39:H39">
    <cfRule type="expression" dxfId="9178" priority="1180">
      <formula>$F39&gt;=$F40</formula>
    </cfRule>
  </conditionalFormatting>
  <conditionalFormatting sqref="F30:G30">
    <cfRule type="expression" dxfId="9177" priority="1179">
      <formula>$F30&gt;=$F31</formula>
    </cfRule>
  </conditionalFormatting>
  <conditionalFormatting sqref="F48:H48">
    <cfRule type="expression" dxfId="9176" priority="1177" stopIfTrue="1">
      <formula>$E$41=""</formula>
    </cfRule>
    <cfRule type="expression" dxfId="9175" priority="1178">
      <formula>$F48&gt;=$F49</formula>
    </cfRule>
  </conditionalFormatting>
  <conditionalFormatting sqref="F41:H47 K5:K11 K14:K20 K23:K29 K32:K38 K41:K47 K50:K51">
    <cfRule type="expression" dxfId="9174" priority="1176">
      <formula>$E5=""</formula>
    </cfRule>
  </conditionalFormatting>
  <conditionalFormatting sqref="F47:H47">
    <cfRule type="expression" dxfId="9173" priority="1175">
      <formula>$E$46=""</formula>
    </cfRule>
  </conditionalFormatting>
  <conditionalFormatting sqref="F45:H45">
    <cfRule type="expression" dxfId="9172" priority="1174">
      <formula>$E45=""</formula>
    </cfRule>
  </conditionalFormatting>
  <conditionalFormatting sqref="F5:H10 F11:G11">
    <cfRule type="expression" dxfId="9171" priority="1173">
      <formula>$C5&lt;$E$3</formula>
    </cfRule>
  </conditionalFormatting>
  <conditionalFormatting sqref="F5:H10 F11:G11">
    <cfRule type="expression" dxfId="9170" priority="1172">
      <formula>$E5=""</formula>
    </cfRule>
  </conditionalFormatting>
  <conditionalFormatting sqref="F5:H10 F11:G11">
    <cfRule type="expression" dxfId="9169" priority="1168">
      <formula>$C5=$E$3</formula>
    </cfRule>
    <cfRule type="expression" dxfId="9168" priority="1169">
      <formula>$C5&lt;$E$3</formula>
    </cfRule>
    <cfRule type="cellIs" dxfId="9167" priority="1170" operator="equal">
      <formula>0</formula>
    </cfRule>
    <cfRule type="expression" dxfId="9166" priority="1171">
      <formula>$C5&gt;$E$3</formula>
    </cfRule>
  </conditionalFormatting>
  <conditionalFormatting sqref="F5:H10 F11:G11">
    <cfRule type="expression" dxfId="9165" priority="1167">
      <formula>$C5&lt;$E$3</formula>
    </cfRule>
  </conditionalFormatting>
  <conditionalFormatting sqref="F5:H10 F11:G11 K5:K11 K14:K20 K23:K29 K32:K38 K41:K47 K50:K51">
    <cfRule type="expression" dxfId="9164" priority="1166">
      <formula>$E5=""</formula>
    </cfRule>
  </conditionalFormatting>
  <conditionalFormatting sqref="F14:G20">
    <cfRule type="expression" dxfId="9163" priority="1165">
      <formula>$C14&lt;$E$3</formula>
    </cfRule>
  </conditionalFormatting>
  <conditionalFormatting sqref="F14:G20">
    <cfRule type="expression" dxfId="9162" priority="1161">
      <formula>$C14=$E$3</formula>
    </cfRule>
    <cfRule type="expression" dxfId="9161" priority="1162">
      <formula>$C14&lt;$E$3</formula>
    </cfRule>
    <cfRule type="cellIs" dxfId="9160" priority="1163" operator="equal">
      <formula>0</formula>
    </cfRule>
    <cfRule type="expression" dxfId="9159" priority="1164">
      <formula>$C14&gt;$E$3</formula>
    </cfRule>
  </conditionalFormatting>
  <conditionalFormatting sqref="F5:H10 F11:G11">
    <cfRule type="expression" dxfId="9158" priority="1160">
      <formula>$C5&lt;$E$3</formula>
    </cfRule>
  </conditionalFormatting>
  <conditionalFormatting sqref="F5:H10 F11:G11">
    <cfRule type="expression" dxfId="9157" priority="1156">
      <formula>$C5=$E$3</formula>
    </cfRule>
    <cfRule type="expression" dxfId="9156" priority="1157">
      <formula>$C5&lt;$E$3</formula>
    </cfRule>
    <cfRule type="cellIs" dxfId="9155" priority="1158" operator="equal">
      <formula>0</formula>
    </cfRule>
    <cfRule type="expression" dxfId="9154" priority="1159">
      <formula>$C5&gt;$E$3</formula>
    </cfRule>
  </conditionalFormatting>
  <conditionalFormatting sqref="F5:H10 F11:G11">
    <cfRule type="expression" dxfId="9153" priority="1155">
      <formula>$E5=""</formula>
    </cfRule>
  </conditionalFormatting>
  <conditionalFormatting sqref="F5:H10 F11:G11">
    <cfRule type="expression" dxfId="9152" priority="1154">
      <formula>$C5&lt;$E$3</formula>
    </cfRule>
  </conditionalFormatting>
  <conditionalFormatting sqref="F5:H10 F11:G11 K5:K11 K14:K20 K23:K29 K32:K38 K41:K47 K50:K51">
    <cfRule type="expression" dxfId="9151" priority="1153">
      <formula>$E5=""</formula>
    </cfRule>
  </conditionalFormatting>
  <conditionalFormatting sqref="F5:H10 F11:G11">
    <cfRule type="expression" dxfId="9150" priority="1152">
      <formula>$E5=""</formula>
    </cfRule>
  </conditionalFormatting>
  <conditionalFormatting sqref="F5:H10 F11:G11">
    <cfRule type="expression" dxfId="9149" priority="1151">
      <formula>$C5&lt;$E$3</formula>
    </cfRule>
  </conditionalFormatting>
  <conditionalFormatting sqref="F5:H10 F11:G11">
    <cfRule type="expression" dxfId="9148" priority="1150">
      <formula>$E5=""</formula>
    </cfRule>
  </conditionalFormatting>
  <conditionalFormatting sqref="F5:H10 F11:G11">
    <cfRule type="expression" dxfId="9147" priority="1149">
      <formula>$C5&lt;$E$3</formula>
    </cfRule>
  </conditionalFormatting>
  <conditionalFormatting sqref="F5:H10 F11:G11">
    <cfRule type="expression" dxfId="9146" priority="1148">
      <formula>$E5=""</formula>
    </cfRule>
  </conditionalFormatting>
  <conditionalFormatting sqref="F5:H10 F11:G11">
    <cfRule type="expression" dxfId="9145" priority="1147">
      <formula>$C5&lt;$E$3</formula>
    </cfRule>
  </conditionalFormatting>
  <conditionalFormatting sqref="F5:H10 F11:G11">
    <cfRule type="expression" dxfId="9144" priority="1146">
      <formula>$E5=""</formula>
    </cfRule>
  </conditionalFormatting>
  <conditionalFormatting sqref="F14:G20">
    <cfRule type="expression" dxfId="9143" priority="1145">
      <formula>$C14&lt;$E$3</formula>
    </cfRule>
  </conditionalFormatting>
  <conditionalFormatting sqref="F14:G20">
    <cfRule type="expression" dxfId="9142" priority="1141">
      <formula>$C14=$E$3</formula>
    </cfRule>
    <cfRule type="expression" dxfId="9141" priority="1142">
      <formula>$C14&lt;$E$3</formula>
    </cfRule>
    <cfRule type="cellIs" dxfId="9140" priority="1143" operator="equal">
      <formula>0</formula>
    </cfRule>
    <cfRule type="expression" dxfId="9139" priority="1144">
      <formula>$C14&gt;$E$3</formula>
    </cfRule>
  </conditionalFormatting>
  <conditionalFormatting sqref="F14:G20">
    <cfRule type="expression" dxfId="9138" priority="1140">
      <formula>$E14=""</formula>
    </cfRule>
  </conditionalFormatting>
  <conditionalFormatting sqref="F14:G20">
    <cfRule type="expression" dxfId="9137" priority="1139">
      <formula>$C14&lt;$E$3</formula>
    </cfRule>
  </conditionalFormatting>
  <conditionalFormatting sqref="F14:G20">
    <cfRule type="expression" dxfId="9136" priority="1138">
      <formula>$E14=""</formula>
    </cfRule>
  </conditionalFormatting>
  <conditionalFormatting sqref="F14:G20">
    <cfRule type="expression" dxfId="9135" priority="1137">
      <formula>$E14=""</formula>
    </cfRule>
  </conditionalFormatting>
  <conditionalFormatting sqref="F14:G20">
    <cfRule type="expression" dxfId="9134" priority="1136">
      <formula>$C14&lt;$E$3</formula>
    </cfRule>
  </conditionalFormatting>
  <conditionalFormatting sqref="F14:G20">
    <cfRule type="expression" dxfId="9133" priority="1135">
      <formula>$E14=""</formula>
    </cfRule>
  </conditionalFormatting>
  <conditionalFormatting sqref="F14:G20">
    <cfRule type="expression" dxfId="9132" priority="1134">
      <formula>$C14&lt;$E$3</formula>
    </cfRule>
  </conditionalFormatting>
  <conditionalFormatting sqref="F14:G20">
    <cfRule type="expression" dxfId="9131" priority="1133">
      <formula>$E14=""</formula>
    </cfRule>
  </conditionalFormatting>
  <conditionalFormatting sqref="F14:G20">
    <cfRule type="expression" dxfId="9130" priority="1132">
      <formula>$C14&lt;$E$3</formula>
    </cfRule>
  </conditionalFormatting>
  <conditionalFormatting sqref="F14:G20">
    <cfRule type="expression" dxfId="9129" priority="1131">
      <formula>$E14=""</formula>
    </cfRule>
  </conditionalFormatting>
  <conditionalFormatting sqref="F23:G29">
    <cfRule type="expression" dxfId="9128" priority="1130">
      <formula>$C23&lt;$E$3</formula>
    </cfRule>
  </conditionalFormatting>
  <conditionalFormatting sqref="F23:G29">
    <cfRule type="expression" dxfId="9127" priority="1126">
      <formula>$C23=$E$3</formula>
    </cfRule>
    <cfRule type="expression" dxfId="9126" priority="1127">
      <formula>$C23&lt;$E$3</formula>
    </cfRule>
    <cfRule type="cellIs" dxfId="9125" priority="1128" operator="equal">
      <formula>0</formula>
    </cfRule>
    <cfRule type="expression" dxfId="9124" priority="1129">
      <formula>$C23&gt;$E$3</formula>
    </cfRule>
  </conditionalFormatting>
  <conditionalFormatting sqref="F23:G29">
    <cfRule type="expression" dxfId="9123" priority="1125">
      <formula>$C23&lt;$E$3</formula>
    </cfRule>
  </conditionalFormatting>
  <conditionalFormatting sqref="F23:G29">
    <cfRule type="expression" dxfId="9122" priority="1121">
      <formula>$C23=$E$3</formula>
    </cfRule>
    <cfRule type="expression" dxfId="9121" priority="1122">
      <formula>$C23&lt;$E$3</formula>
    </cfRule>
    <cfRule type="cellIs" dxfId="9120" priority="1123" operator="equal">
      <formula>0</formula>
    </cfRule>
    <cfRule type="expression" dxfId="9119" priority="1124">
      <formula>$C23&gt;$E$3</formula>
    </cfRule>
  </conditionalFormatting>
  <conditionalFormatting sqref="F23:G29">
    <cfRule type="expression" dxfId="9118" priority="1120">
      <formula>$E23=""</formula>
    </cfRule>
  </conditionalFormatting>
  <conditionalFormatting sqref="F23:G29">
    <cfRule type="expression" dxfId="9117" priority="1119">
      <formula>$C23&lt;$E$3</formula>
    </cfRule>
  </conditionalFormatting>
  <conditionalFormatting sqref="F23:G29">
    <cfRule type="expression" dxfId="9116" priority="1118">
      <formula>$E23=""</formula>
    </cfRule>
  </conditionalFormatting>
  <conditionalFormatting sqref="F23:G29">
    <cfRule type="expression" dxfId="9115" priority="1117">
      <formula>$E23=""</formula>
    </cfRule>
  </conditionalFormatting>
  <conditionalFormatting sqref="F23:G29">
    <cfRule type="expression" dxfId="9114" priority="1116">
      <formula>$C23&lt;$E$3</formula>
    </cfRule>
  </conditionalFormatting>
  <conditionalFormatting sqref="F23:G29">
    <cfRule type="expression" dxfId="9113" priority="1115">
      <formula>$E23=""</formula>
    </cfRule>
  </conditionalFormatting>
  <conditionalFormatting sqref="F23:G29">
    <cfRule type="expression" dxfId="9112" priority="1114">
      <formula>$C23&lt;$E$3</formula>
    </cfRule>
  </conditionalFormatting>
  <conditionalFormatting sqref="F23:G29">
    <cfRule type="expression" dxfId="9111" priority="1113">
      <formula>$E23=""</formula>
    </cfRule>
  </conditionalFormatting>
  <conditionalFormatting sqref="F23:G29">
    <cfRule type="expression" dxfId="9110" priority="1112">
      <formula>$C23&lt;$E$3</formula>
    </cfRule>
  </conditionalFormatting>
  <conditionalFormatting sqref="F23:G29">
    <cfRule type="expression" dxfId="9109" priority="1111">
      <formula>$E23=""</formula>
    </cfRule>
  </conditionalFormatting>
  <conditionalFormatting sqref="F38:H38 F32:G37">
    <cfRule type="expression" dxfId="9108" priority="1110">
      <formula>$C32&lt;$E$3</formula>
    </cfRule>
  </conditionalFormatting>
  <conditionalFormatting sqref="F38:H38 F32:G37">
    <cfRule type="expression" dxfId="9107" priority="1106">
      <formula>$C32=$E$3</formula>
    </cfRule>
    <cfRule type="expression" dxfId="9106" priority="1107">
      <formula>$C32&lt;$E$3</formula>
    </cfRule>
    <cfRule type="cellIs" dxfId="9105" priority="1108" operator="equal">
      <formula>0</formula>
    </cfRule>
    <cfRule type="expression" dxfId="9104" priority="1109">
      <formula>$C32&gt;$E$3</formula>
    </cfRule>
  </conditionalFormatting>
  <conditionalFormatting sqref="F38:H38 F32:G37">
    <cfRule type="expression" dxfId="9103" priority="1105">
      <formula>$C32&lt;$E$3</formula>
    </cfRule>
  </conditionalFormatting>
  <conditionalFormatting sqref="F38:H38 F32:G37">
    <cfRule type="expression" dxfId="9102" priority="1101">
      <formula>$C32=$E$3</formula>
    </cfRule>
    <cfRule type="expression" dxfId="9101" priority="1102">
      <formula>$C32&lt;$E$3</formula>
    </cfRule>
    <cfRule type="cellIs" dxfId="9100" priority="1103" operator="equal">
      <formula>0</formula>
    </cfRule>
    <cfRule type="expression" dxfId="9099" priority="1104">
      <formula>$C32&gt;$E$3</formula>
    </cfRule>
  </conditionalFormatting>
  <conditionalFormatting sqref="F38:H38 F32:G37">
    <cfRule type="expression" dxfId="9098" priority="1100">
      <formula>$E32=""</formula>
    </cfRule>
  </conditionalFormatting>
  <conditionalFormatting sqref="F38:H38 F32:G37">
    <cfRule type="expression" dxfId="9097" priority="1099">
      <formula>$C32&lt;$E$3</formula>
    </cfRule>
  </conditionalFormatting>
  <conditionalFormatting sqref="F38:H38 F32:G37">
    <cfRule type="expression" dxfId="9096" priority="1098">
      <formula>$E32=""</formula>
    </cfRule>
  </conditionalFormatting>
  <conditionalFormatting sqref="F38:H38 F32:G37">
    <cfRule type="expression" dxfId="9095" priority="1097">
      <formula>$E32=""</formula>
    </cfRule>
  </conditionalFormatting>
  <conditionalFormatting sqref="F38:H38 F32:G37">
    <cfRule type="expression" dxfId="9094" priority="1096">
      <formula>$C32&lt;$E$3</formula>
    </cfRule>
  </conditionalFormatting>
  <conditionalFormatting sqref="F38:H38 F32:G37">
    <cfRule type="expression" dxfId="9093" priority="1095">
      <formula>$E32=""</formula>
    </cfRule>
  </conditionalFormatting>
  <conditionalFormatting sqref="F38:H38 F32:G37">
    <cfRule type="expression" dxfId="9092" priority="1094">
      <formula>$C32&lt;$E$3</formula>
    </cfRule>
  </conditionalFormatting>
  <conditionalFormatting sqref="F38:H38 F32:G37">
    <cfRule type="expression" dxfId="9091" priority="1093">
      <formula>$E32=""</formula>
    </cfRule>
  </conditionalFormatting>
  <conditionalFormatting sqref="F38:H38 F32:G37">
    <cfRule type="expression" dxfId="9090" priority="1092">
      <formula>$C32&lt;$E$3</formula>
    </cfRule>
  </conditionalFormatting>
  <conditionalFormatting sqref="F38:H38 F32:G37">
    <cfRule type="expression" dxfId="9089" priority="1091">
      <formula>$E32=""</formula>
    </cfRule>
  </conditionalFormatting>
  <conditionalFormatting sqref="F41:H47">
    <cfRule type="expression" dxfId="9088" priority="1090">
      <formula>$C41&lt;$E$3</formula>
    </cfRule>
  </conditionalFormatting>
  <conditionalFormatting sqref="F41:H47">
    <cfRule type="expression" dxfId="9087" priority="1086">
      <formula>$C41=$E$3</formula>
    </cfRule>
    <cfRule type="expression" dxfId="9086" priority="1087">
      <formula>$C41&lt;$E$3</formula>
    </cfRule>
    <cfRule type="cellIs" dxfId="9085" priority="1088" operator="equal">
      <formula>0</formula>
    </cfRule>
    <cfRule type="expression" dxfId="9084" priority="1089">
      <formula>$C41&gt;$E$3</formula>
    </cfRule>
  </conditionalFormatting>
  <conditionalFormatting sqref="F41:H47">
    <cfRule type="expression" dxfId="9083" priority="1085">
      <formula>$C41&lt;$E$3</formula>
    </cfRule>
  </conditionalFormatting>
  <conditionalFormatting sqref="F41:H47">
    <cfRule type="expression" dxfId="9082" priority="1081">
      <formula>$C41=$E$3</formula>
    </cfRule>
    <cfRule type="expression" dxfId="9081" priority="1082">
      <formula>$C41&lt;$E$3</formula>
    </cfRule>
    <cfRule type="cellIs" dxfId="9080" priority="1083" operator="equal">
      <formula>0</formula>
    </cfRule>
    <cfRule type="expression" dxfId="9079" priority="1084">
      <formula>$C41&gt;$E$3</formula>
    </cfRule>
  </conditionalFormatting>
  <conditionalFormatting sqref="F41:H47">
    <cfRule type="expression" dxfId="9078" priority="1080">
      <formula>$E41=""</formula>
    </cfRule>
  </conditionalFormatting>
  <conditionalFormatting sqref="F41:H47">
    <cfRule type="expression" dxfId="9077" priority="1079">
      <formula>$C41&lt;$E$3</formula>
    </cfRule>
  </conditionalFormatting>
  <conditionalFormatting sqref="F41:H47">
    <cfRule type="expression" dxfId="9076" priority="1078">
      <formula>$E41=""</formula>
    </cfRule>
  </conditionalFormatting>
  <conditionalFormatting sqref="F41:H47">
    <cfRule type="expression" dxfId="9075" priority="1077">
      <formula>$E41=""</formula>
    </cfRule>
  </conditionalFormatting>
  <conditionalFormatting sqref="F41:H47">
    <cfRule type="expression" dxfId="9074" priority="1076">
      <formula>$C41&lt;$E$3</formula>
    </cfRule>
  </conditionalFormatting>
  <conditionalFormatting sqref="F41:H47">
    <cfRule type="expression" dxfId="9073" priority="1075">
      <formula>$E41=""</formula>
    </cfRule>
  </conditionalFormatting>
  <conditionalFormatting sqref="F41:H47">
    <cfRule type="expression" dxfId="9072" priority="1074">
      <formula>$C41&lt;$E$3</formula>
    </cfRule>
  </conditionalFormatting>
  <conditionalFormatting sqref="F41:H47">
    <cfRule type="expression" dxfId="9071" priority="1073">
      <formula>$E41=""</formula>
    </cfRule>
  </conditionalFormatting>
  <conditionalFormatting sqref="F41:H47">
    <cfRule type="expression" dxfId="9070" priority="1072">
      <formula>$C41&lt;$E$3</formula>
    </cfRule>
  </conditionalFormatting>
  <conditionalFormatting sqref="F41:H47">
    <cfRule type="expression" dxfId="9069" priority="1071">
      <formula>$E41=""</formula>
    </cfRule>
  </conditionalFormatting>
  <conditionalFormatting sqref="F50:H51">
    <cfRule type="cellIs" dxfId="9068" priority="1070" stopIfTrue="1" operator="lessThan">
      <formula>0</formula>
    </cfRule>
  </conditionalFormatting>
  <conditionalFormatting sqref="F50:H51">
    <cfRule type="expression" dxfId="9067" priority="1069">
      <formula>$C50&lt;$E$3</formula>
    </cfRule>
  </conditionalFormatting>
  <conditionalFormatting sqref="F50:H51">
    <cfRule type="expression" dxfId="9066" priority="1065">
      <formula>$C50=$E$3</formula>
    </cfRule>
    <cfRule type="expression" dxfId="9065" priority="1066">
      <formula>$C50&lt;$E$3</formula>
    </cfRule>
    <cfRule type="cellIs" dxfId="9064" priority="1067" operator="equal">
      <formula>0</formula>
    </cfRule>
    <cfRule type="expression" dxfId="9063" priority="1068">
      <formula>$C50&gt;$E$3</formula>
    </cfRule>
  </conditionalFormatting>
  <conditionalFormatting sqref="F50:H51">
    <cfRule type="expression" dxfId="9062" priority="1064">
      <formula>$C50&lt;$E$3</formula>
    </cfRule>
  </conditionalFormatting>
  <conditionalFormatting sqref="F50:H51">
    <cfRule type="expression" dxfId="9061" priority="1060">
      <formula>$C50=$E$3</formula>
    </cfRule>
    <cfRule type="expression" dxfId="9060" priority="1061">
      <formula>$C50&lt;$E$3</formula>
    </cfRule>
    <cfRule type="cellIs" dxfId="9059" priority="1062" operator="equal">
      <formula>0</formula>
    </cfRule>
    <cfRule type="expression" dxfId="9058" priority="1063">
      <formula>$C50&gt;$E$3</formula>
    </cfRule>
  </conditionalFormatting>
  <conditionalFormatting sqref="F50:H51">
    <cfRule type="expression" dxfId="9057" priority="1059">
      <formula>$C50&lt;$E$3</formula>
    </cfRule>
  </conditionalFormatting>
  <conditionalFormatting sqref="F50:H51">
    <cfRule type="expression" dxfId="9056" priority="1055">
      <formula>$C50=$E$3</formula>
    </cfRule>
    <cfRule type="expression" dxfId="9055" priority="1056">
      <formula>$C50&lt;$E$3</formula>
    </cfRule>
    <cfRule type="cellIs" dxfId="9054" priority="1057" operator="equal">
      <formula>0</formula>
    </cfRule>
    <cfRule type="expression" dxfId="9053" priority="1058">
      <formula>$C50&gt;$E$3</formula>
    </cfRule>
  </conditionalFormatting>
  <conditionalFormatting sqref="F50:H51">
    <cfRule type="expression" dxfId="9052" priority="1054">
      <formula>$C50&lt;$E$3</formula>
    </cfRule>
  </conditionalFormatting>
  <conditionalFormatting sqref="F50:H51">
    <cfRule type="expression" dxfId="9051" priority="1050">
      <formula>$C50=$E$3</formula>
    </cfRule>
    <cfRule type="expression" dxfId="9050" priority="1051">
      <formula>$C50&lt;$E$3</formula>
    </cfRule>
    <cfRule type="cellIs" dxfId="9049" priority="1052" operator="equal">
      <formula>0</formula>
    </cfRule>
    <cfRule type="expression" dxfId="9048" priority="1053">
      <formula>$C50&gt;$E$3</formula>
    </cfRule>
  </conditionalFormatting>
  <conditionalFormatting sqref="F50:H51">
    <cfRule type="expression" dxfId="9047" priority="1049">
      <formula>$E50=""</formula>
    </cfRule>
  </conditionalFormatting>
  <conditionalFormatting sqref="F50:H51">
    <cfRule type="expression" dxfId="9046" priority="1048">
      <formula>$C50&lt;$E$3</formula>
    </cfRule>
  </conditionalFormatting>
  <conditionalFormatting sqref="F50:H51">
    <cfRule type="expression" dxfId="9045" priority="1047">
      <formula>$E50=""</formula>
    </cfRule>
  </conditionalFormatting>
  <conditionalFormatting sqref="F50:H51">
    <cfRule type="expression" dxfId="9044" priority="1046">
      <formula>$E50=""</formula>
    </cfRule>
  </conditionalFormatting>
  <conditionalFormatting sqref="F50:H51">
    <cfRule type="expression" dxfId="9043" priority="1045">
      <formula>$C50&lt;$E$3</formula>
    </cfRule>
  </conditionalFormatting>
  <conditionalFormatting sqref="F50:H51">
    <cfRule type="expression" dxfId="9042" priority="1044">
      <formula>$E50=""</formula>
    </cfRule>
  </conditionalFormatting>
  <conditionalFormatting sqref="F50:H51">
    <cfRule type="expression" dxfId="9041" priority="1043">
      <formula>$C50&lt;$E$3</formula>
    </cfRule>
  </conditionalFormatting>
  <conditionalFormatting sqref="F50:H51">
    <cfRule type="expression" dxfId="9040" priority="1042">
      <formula>$E50=""</formula>
    </cfRule>
  </conditionalFormatting>
  <conditionalFormatting sqref="F50:H51">
    <cfRule type="expression" dxfId="9039" priority="1041">
      <formula>$C50&lt;$E$3</formula>
    </cfRule>
  </conditionalFormatting>
  <conditionalFormatting sqref="F50:H51">
    <cfRule type="expression" dxfId="9038" priority="1040">
      <formula>$E50=""</formula>
    </cfRule>
  </conditionalFormatting>
  <conditionalFormatting sqref="E14:E20 E5:E11 E41:E47 E32:E38 E23:E29 E50:E51">
    <cfRule type="containsText" dxfId="9037" priority="1033" operator="containsText" text="Sa">
      <formula>NOT(ISERROR(SEARCH("Sa",E5)))</formula>
    </cfRule>
    <cfRule type="containsText" dxfId="9036" priority="1035" operator="containsText" text="Fr">
      <formula>NOT(ISERROR(SEARCH("Fr",E5)))</formula>
    </cfRule>
    <cfRule type="containsText" dxfId="9035" priority="1036" operator="containsText" text="Th">
      <formula>NOT(ISERROR(SEARCH("Th",E5)))</formula>
    </cfRule>
  </conditionalFormatting>
  <conditionalFormatting sqref="E14:E20 E5:E11 E41:E47 E32:E38 E23:E29 E50:E51">
    <cfRule type="containsText" dxfId="9034" priority="1037" operator="containsText" text="Wed">
      <formula>NOT(ISERROR(SEARCH("Wed",E5)))</formula>
    </cfRule>
    <cfRule type="containsText" dxfId="9033" priority="1038" operator="containsText" text="Tu">
      <formula>NOT(ISERROR(SEARCH("Tu",E5)))</formula>
    </cfRule>
    <cfRule type="beginsWith" dxfId="9032" priority="1039" operator="beginsWith" text="M">
      <formula>LEFT(E5,1)="M"</formula>
    </cfRule>
  </conditionalFormatting>
  <conditionalFormatting sqref="E14:E20 E5:E11 E41:E47 E32:E38 E23:E29 E50:E51">
    <cfRule type="containsText" dxfId="9031" priority="1034" operator="containsText" text="Su">
      <formula>NOT(ISERROR(SEARCH("Su",E5)))</formula>
    </cfRule>
  </conditionalFormatting>
  <conditionalFormatting sqref="C4">
    <cfRule type="cellIs" dxfId="9030" priority="1029" stopIfTrue="1" operator="notBetween">
      <formula>$B$2</formula>
      <formula>$B$3</formula>
    </cfRule>
  </conditionalFormatting>
  <conditionalFormatting sqref="C4">
    <cfRule type="cellIs" dxfId="9029" priority="1030" operator="greaterThan">
      <formula>$E$3</formula>
    </cfRule>
    <cfRule type="cellIs" dxfId="9028" priority="1031" operator="equal">
      <formula>$E$3</formula>
    </cfRule>
    <cfRule type="cellIs" dxfId="9027" priority="1032" operator="lessThan">
      <formula>$E$3</formula>
    </cfRule>
  </conditionalFormatting>
  <conditionalFormatting sqref="J23:J29 J14:J20 J5:J11 J50:J51 L5:N11 L14:M20 L23:M29 J41:N47 L50:N51 L32:M38 N15:N16 N18 J32:J38">
    <cfRule type="cellIs" dxfId="9026" priority="1028" stopIfTrue="1" operator="lessThan">
      <formula>0</formula>
    </cfRule>
  </conditionalFormatting>
  <conditionalFormatting sqref="J5:J11 J50:J51 L5:M11 L50:M51 J14:M20 J23:M29 J41:M47 J32:M38">
    <cfRule type="expression" dxfId="9025" priority="1026">
      <formula>$C5&lt;$E$3</formula>
    </cfRule>
  </conditionalFormatting>
  <conditionalFormatting sqref="J5:J11 J50:J51 L5:M11 L50:M51 J14:M20 J23:M29 J41:M47 J32:M38">
    <cfRule type="expression" dxfId="9024" priority="1023">
      <formula>$C5=$E$3</formula>
    </cfRule>
    <cfRule type="expression" dxfId="9023" priority="1024">
      <formula>$C5&lt;$E$3</formula>
    </cfRule>
    <cfRule type="cellIs" dxfId="9022" priority="1025" operator="equal">
      <formula>0</formula>
    </cfRule>
    <cfRule type="expression" dxfId="9021" priority="1027">
      <formula>$C5&gt;$E$3</formula>
    </cfRule>
  </conditionalFormatting>
  <conditionalFormatting sqref="J5:J11 J50:J51 L5:M11 L50:M51 J14:M20 J23:M29 J41:M47 J32:M38">
    <cfRule type="expression" dxfId="9020" priority="1022">
      <formula>$E5=""</formula>
    </cfRule>
  </conditionalFormatting>
  <conditionalFormatting sqref="J5:J11 J50:J51 L5:M11 L50:M51 J14:M20 J23:M29 J41:M47 J32:M38">
    <cfRule type="expression" dxfId="9019" priority="1021">
      <formula>$E5=""</formula>
    </cfRule>
  </conditionalFormatting>
  <conditionalFormatting sqref="J5:J11 J50:J51 L5:M11 L50:M51 J14:M20 J23:M29 J41:M47 J32:M38">
    <cfRule type="expression" dxfId="9018" priority="1020">
      <formula>$E5=""</formula>
    </cfRule>
  </conditionalFormatting>
  <conditionalFormatting sqref="M5:M11 M14:M20 M23:M29 M32:M38 M41:M47 M50:M51">
    <cfRule type="expression" dxfId="9017" priority="1019">
      <formula>$C5&lt;$E$3</formula>
    </cfRule>
  </conditionalFormatting>
  <conditionalFormatting sqref="M5:M11 M14:M20 M23:M29 M32:M38 M41:M47 M50:M51">
    <cfRule type="expression" dxfId="9016" priority="1015">
      <formula>$C5=$E$3</formula>
    </cfRule>
    <cfRule type="expression" dxfId="9015" priority="1016">
      <formula>$C5&lt;$E$3</formula>
    </cfRule>
    <cfRule type="cellIs" dxfId="9014" priority="1017" operator="equal">
      <formula>0</formula>
    </cfRule>
    <cfRule type="expression" dxfId="9013" priority="1018">
      <formula>$C5&gt;$E$3</formula>
    </cfRule>
  </conditionalFormatting>
  <conditionalFormatting sqref="M5:M11 M14:M20 M23:M29 M32:M38 M41:M47 M50:M51">
    <cfRule type="expression" dxfId="9012" priority="1014">
      <formula>$C5&lt;$E$3</formula>
    </cfRule>
  </conditionalFormatting>
  <conditionalFormatting sqref="M5:M11 M14:M20 M23:M29 M32:M38 M41:M47 M50:M51">
    <cfRule type="expression" dxfId="9011" priority="1010">
      <formula>$C5=$E$3</formula>
    </cfRule>
    <cfRule type="expression" dxfId="9010" priority="1011">
      <formula>$C5&lt;$E$3</formula>
    </cfRule>
    <cfRule type="cellIs" dxfId="9009" priority="1012" operator="equal">
      <formula>0</formula>
    </cfRule>
    <cfRule type="expression" dxfId="9008" priority="1013">
      <formula>$C5&gt;$E$3</formula>
    </cfRule>
  </conditionalFormatting>
  <conditionalFormatting sqref="M5:M11 M14:M20 M23:M29 M32:M38 M41:M47 M50:M51">
    <cfRule type="expression" dxfId="9007" priority="1009">
      <formula>$C5&lt;$E$3</formula>
    </cfRule>
  </conditionalFormatting>
  <conditionalFormatting sqref="M5:M11 M14:M20 M23:M29 M32:M38 M41:M47 M50:M51">
    <cfRule type="expression" dxfId="9006" priority="1005">
      <formula>$C5=$E$3</formula>
    </cfRule>
    <cfRule type="expression" dxfId="9005" priority="1006">
      <formula>$C5&lt;$E$3</formula>
    </cfRule>
    <cfRule type="cellIs" dxfId="9004" priority="1007" operator="equal">
      <formula>0</formula>
    </cfRule>
    <cfRule type="expression" dxfId="9003" priority="1008">
      <formula>$C5&gt;$E$3</formula>
    </cfRule>
  </conditionalFormatting>
  <conditionalFormatting sqref="M5:M11 M14:M20 M23:M29 M32:M38 M41:M47 M50:M51">
    <cfRule type="expression" dxfId="9002" priority="1004">
      <formula>$C5&lt;$E$3</formula>
    </cfRule>
  </conditionalFormatting>
  <conditionalFormatting sqref="M5:M11 M14:M20 M23:M29 M32:M38 M41:M47 M50:M51">
    <cfRule type="expression" dxfId="9001" priority="1000">
      <formula>$C5=$E$3</formula>
    </cfRule>
    <cfRule type="expression" dxfId="9000" priority="1001">
      <formula>$C5&lt;$E$3</formula>
    </cfRule>
    <cfRule type="cellIs" dxfId="8999" priority="1002" operator="equal">
      <formula>0</formula>
    </cfRule>
    <cfRule type="expression" dxfId="8998" priority="1003">
      <formula>$C5&gt;$E$3</formula>
    </cfRule>
  </conditionalFormatting>
  <conditionalFormatting sqref="M5:M11 M14:M20 M23:M29 M32:M38 M41:M47 M50:M51">
    <cfRule type="expression" dxfId="8997" priority="999">
      <formula>$E5=""</formula>
    </cfRule>
  </conditionalFormatting>
  <conditionalFormatting sqref="M5:M11 M14:M20 M23:M29 M32:M38 M41:M47 M50:M51">
    <cfRule type="expression" dxfId="8996" priority="998">
      <formula>$C5&lt;$E$3</formula>
    </cfRule>
  </conditionalFormatting>
  <conditionalFormatting sqref="M5:M11 M14:M20 M23:M29 M32:M38 M41:M47 M50:M51">
    <cfRule type="expression" dxfId="8995" priority="997">
      <formula>$E5=""</formula>
    </cfRule>
  </conditionalFormatting>
  <conditionalFormatting sqref="M5:M11 M14:M20 M23:M29 M32:M38 M41:M47 M50:M51">
    <cfRule type="expression" dxfId="8994" priority="996">
      <formula>$E5=""</formula>
    </cfRule>
  </conditionalFormatting>
  <conditionalFormatting sqref="M5:M11 M14:M20 M23:M29 M32:M38 M41:M47 M50:M51">
    <cfRule type="expression" dxfId="8993" priority="995">
      <formula>$C5&lt;$E$3</formula>
    </cfRule>
  </conditionalFormatting>
  <conditionalFormatting sqref="M5:M11 M14:M20 M23:M29 M32:M38 M41:M47 M50:M51">
    <cfRule type="expression" dxfId="8992" priority="994">
      <formula>$E5=""</formula>
    </cfRule>
  </conditionalFormatting>
  <conditionalFormatting sqref="M5:M11 M14:M20 M23:M29 M32:M38 M41:M47 M50:M51">
    <cfRule type="expression" dxfId="8991" priority="993">
      <formula>$C5&lt;$E$3</formula>
    </cfRule>
  </conditionalFormatting>
  <conditionalFormatting sqref="M5:M11 M14:M20 M23:M29 M32:M38 M41:M47 M50:M51">
    <cfRule type="expression" dxfId="8990" priority="992">
      <formula>$E5=""</formula>
    </cfRule>
  </conditionalFormatting>
  <conditionalFormatting sqref="M5:M11 M14:M20 M23:M29 M32:M38 M41:M47 M50:M51">
    <cfRule type="expression" dxfId="8989" priority="991">
      <formula>$C5&lt;$E$3</formula>
    </cfRule>
  </conditionalFormatting>
  <conditionalFormatting sqref="M5:M11 M14:M20 M23:M29 M32:M38 M41:M47 M50:M51">
    <cfRule type="expression" dxfId="8988" priority="990">
      <formula>$E5=""</formula>
    </cfRule>
  </conditionalFormatting>
  <conditionalFormatting sqref="M5:M11 M14:M20 M23:M29 M32:M38 M41:M47 M50:M51">
    <cfRule type="expression" dxfId="8987" priority="989">
      <formula>$C5&lt;$E$3</formula>
    </cfRule>
  </conditionalFormatting>
  <conditionalFormatting sqref="M5:M11 M14:M20 M23:M29 M32:M38 M41:M47 M50:M51">
    <cfRule type="expression" dxfId="8986" priority="985">
      <formula>$C5=$E$3</formula>
    </cfRule>
    <cfRule type="expression" dxfId="8985" priority="986">
      <formula>$C5&lt;$E$3</formula>
    </cfRule>
    <cfRule type="cellIs" dxfId="8984" priority="987" operator="equal">
      <formula>0</formula>
    </cfRule>
    <cfRule type="expression" dxfId="8983" priority="988">
      <formula>$C5&gt;$E$3</formula>
    </cfRule>
  </conditionalFormatting>
  <conditionalFormatting sqref="M5:M11 M14:M20 M23:M29 M32:M38 M41:M47 M50:M51">
    <cfRule type="expression" dxfId="8982" priority="984">
      <formula>$C5&lt;$E$3</formula>
    </cfRule>
  </conditionalFormatting>
  <conditionalFormatting sqref="M5:M11 M14:M20 M23:M29 M32:M38 M41:M47 M50:M51">
    <cfRule type="expression" dxfId="8981" priority="980">
      <formula>$C5=$E$3</formula>
    </cfRule>
    <cfRule type="expression" dxfId="8980" priority="981">
      <formula>$C5&lt;$E$3</formula>
    </cfRule>
    <cfRule type="cellIs" dxfId="8979" priority="982" operator="equal">
      <formula>0</formula>
    </cfRule>
    <cfRule type="expression" dxfId="8978" priority="983">
      <formula>$C5&gt;$E$3</formula>
    </cfRule>
  </conditionalFormatting>
  <conditionalFormatting sqref="M5:M11 M14:M20 M23:M29 M32:M38 M41:M47 M50:M51">
    <cfRule type="expression" dxfId="8977" priority="979">
      <formula>$C5&lt;$E$3</formula>
    </cfRule>
  </conditionalFormatting>
  <conditionalFormatting sqref="M5:M11 M14:M20 M23:M29 M32:M38 M41:M47 M50:M51">
    <cfRule type="expression" dxfId="8976" priority="975">
      <formula>$C5=$E$3</formula>
    </cfRule>
    <cfRule type="expression" dxfId="8975" priority="976">
      <formula>$C5&lt;$E$3</formula>
    </cfRule>
    <cfRule type="cellIs" dxfId="8974" priority="977" operator="equal">
      <formula>0</formula>
    </cfRule>
    <cfRule type="expression" dxfId="8973" priority="978">
      <formula>$C5&gt;$E$3</formula>
    </cfRule>
  </conditionalFormatting>
  <conditionalFormatting sqref="M5:M11 M14:M20 M23:M29 M32:M38 M41:M47 M50:M51">
    <cfRule type="expression" dxfId="8972" priority="974">
      <formula>$C5&lt;$E$3</formula>
    </cfRule>
  </conditionalFormatting>
  <conditionalFormatting sqref="M5:M11 M14:M20 M23:M29 M32:M38 M41:M47 M50:M51">
    <cfRule type="expression" dxfId="8971" priority="970">
      <formula>$C5=$E$3</formula>
    </cfRule>
    <cfRule type="expression" dxfId="8970" priority="971">
      <formula>$C5&lt;$E$3</formula>
    </cfRule>
    <cfRule type="cellIs" dxfId="8969" priority="972" operator="equal">
      <formula>0</formula>
    </cfRule>
    <cfRule type="expression" dxfId="8968" priority="973">
      <formula>$C5&gt;$E$3</formula>
    </cfRule>
  </conditionalFormatting>
  <conditionalFormatting sqref="M5:M11 M14:M20 M23:M29 M32:M38 M41:M47 M50:M51">
    <cfRule type="expression" dxfId="8967" priority="969">
      <formula>$E5=""</formula>
    </cfRule>
  </conditionalFormatting>
  <conditionalFormatting sqref="M5:M11 M14:M20 M23:M29 M32:M38 M41:M47 M50:M51">
    <cfRule type="expression" dxfId="8966" priority="968">
      <formula>$C5&lt;$E$3</formula>
    </cfRule>
  </conditionalFormatting>
  <conditionalFormatting sqref="M5:M11 M14:M20 M23:M29 M32:M38 M41:M47 M50:M51">
    <cfRule type="expression" dxfId="8965" priority="967">
      <formula>$E5=""</formula>
    </cfRule>
  </conditionalFormatting>
  <conditionalFormatting sqref="M5:M11 M14:M20 M23:M29 M32:M38 M41:M47 M50:M51">
    <cfRule type="expression" dxfId="8964" priority="966">
      <formula>$E5=""</formula>
    </cfRule>
  </conditionalFormatting>
  <conditionalFormatting sqref="M5:M11 M14:M20 M23:M29 M32:M38 M41:M47 M50:M51">
    <cfRule type="expression" dxfId="8963" priority="965">
      <formula>$C5&lt;$E$3</formula>
    </cfRule>
  </conditionalFormatting>
  <conditionalFormatting sqref="M5:M11 M14:M20 M23:M29 M32:M38 M41:M47 M50:M51">
    <cfRule type="expression" dxfId="8962" priority="964">
      <formula>$E5=""</formula>
    </cfRule>
  </conditionalFormatting>
  <conditionalFormatting sqref="M5:M11 M14:M20 M23:M29 M32:M38 M41:M47 M50:M51">
    <cfRule type="expression" dxfId="8961" priority="963">
      <formula>$C5&lt;$E$3</formula>
    </cfRule>
  </conditionalFormatting>
  <conditionalFormatting sqref="M5:M11 M14:M20 M23:M29 M32:M38 M41:M47 M50:M51">
    <cfRule type="expression" dxfId="8960" priority="962">
      <formula>$E5=""</formula>
    </cfRule>
  </conditionalFormatting>
  <conditionalFormatting sqref="M5:M11 M14:M20 M23:M29 M32:M38 M41:M47 M50:M51">
    <cfRule type="expression" dxfId="8959" priority="961">
      <formula>$C5&lt;$E$3</formula>
    </cfRule>
  </conditionalFormatting>
  <conditionalFormatting sqref="M5:M11 M14:M20 M23:M29 M32:M38 M41:M47 M50:M51">
    <cfRule type="expression" dxfId="8958" priority="960">
      <formula>$E5=""</formula>
    </cfRule>
  </conditionalFormatting>
  <conditionalFormatting sqref="K10">
    <cfRule type="expression" dxfId="8957" priority="959">
      <formula>$C10&lt;$E$3</formula>
    </cfRule>
  </conditionalFormatting>
  <conditionalFormatting sqref="K10">
    <cfRule type="expression" dxfId="8956" priority="955">
      <formula>$C10=$E$3</formula>
    </cfRule>
    <cfRule type="expression" dxfId="8955" priority="956">
      <formula>$C10&lt;$E$3</formula>
    </cfRule>
    <cfRule type="cellIs" dxfId="8954" priority="957" operator="equal">
      <formula>0</formula>
    </cfRule>
    <cfRule type="expression" dxfId="8953" priority="958">
      <formula>$C10&gt;$E$3</formula>
    </cfRule>
  </conditionalFormatting>
  <conditionalFormatting sqref="K10">
    <cfRule type="expression" dxfId="8952" priority="954">
      <formula>$C10&lt;$E$3</formula>
    </cfRule>
  </conditionalFormatting>
  <conditionalFormatting sqref="K10">
    <cfRule type="expression" dxfId="8951" priority="950">
      <formula>$C10=$E$3</formula>
    </cfRule>
    <cfRule type="expression" dxfId="8950" priority="951">
      <formula>$C10&lt;$E$3</formula>
    </cfRule>
    <cfRule type="cellIs" dxfId="8949" priority="952" operator="equal">
      <formula>0</formula>
    </cfRule>
    <cfRule type="expression" dxfId="8948" priority="953">
      <formula>$C10&gt;$E$3</formula>
    </cfRule>
  </conditionalFormatting>
  <conditionalFormatting sqref="K10">
    <cfRule type="expression" dxfId="8947" priority="949">
      <formula>$C10&lt;$E$3</formula>
    </cfRule>
  </conditionalFormatting>
  <conditionalFormatting sqref="K10">
    <cfRule type="expression" dxfId="8946" priority="945">
      <formula>$C10=$E$3</formula>
    </cfRule>
    <cfRule type="expression" dxfId="8945" priority="946">
      <formula>$C10&lt;$E$3</formula>
    </cfRule>
    <cfRule type="cellIs" dxfId="8944" priority="947" operator="equal">
      <formula>0</formula>
    </cfRule>
    <cfRule type="expression" dxfId="8943" priority="948">
      <formula>$C10&gt;$E$3</formula>
    </cfRule>
  </conditionalFormatting>
  <conditionalFormatting sqref="K10">
    <cfRule type="expression" dxfId="8942" priority="944">
      <formula>$C10&lt;$E$3</formula>
    </cfRule>
  </conditionalFormatting>
  <conditionalFormatting sqref="K10">
    <cfRule type="expression" dxfId="8941" priority="940">
      <formula>$C10=$E$3</formula>
    </cfRule>
    <cfRule type="expression" dxfId="8940" priority="941">
      <formula>$C10&lt;$E$3</formula>
    </cfRule>
    <cfRule type="cellIs" dxfId="8939" priority="942" operator="equal">
      <formula>0</formula>
    </cfRule>
    <cfRule type="expression" dxfId="8938" priority="943">
      <formula>$C10&gt;$E$3</formula>
    </cfRule>
  </conditionalFormatting>
  <conditionalFormatting sqref="K10">
    <cfRule type="expression" dxfId="8937" priority="939">
      <formula>$E10=""</formula>
    </cfRule>
  </conditionalFormatting>
  <conditionalFormatting sqref="K10">
    <cfRule type="expression" dxfId="8936" priority="938">
      <formula>$C10&lt;$E$3</formula>
    </cfRule>
  </conditionalFormatting>
  <conditionalFormatting sqref="K10">
    <cfRule type="expression" dxfId="8935" priority="937">
      <formula>$E10=""</formula>
    </cfRule>
  </conditionalFormatting>
  <conditionalFormatting sqref="K10">
    <cfRule type="expression" dxfId="8934" priority="936">
      <formula>$E10=""</formula>
    </cfRule>
  </conditionalFormatting>
  <conditionalFormatting sqref="K10">
    <cfRule type="expression" dxfId="8933" priority="935">
      <formula>$C10&lt;$E$3</formula>
    </cfRule>
  </conditionalFormatting>
  <conditionalFormatting sqref="K10">
    <cfRule type="expression" dxfId="8932" priority="934">
      <formula>$E10=""</formula>
    </cfRule>
  </conditionalFormatting>
  <conditionalFormatting sqref="K10">
    <cfRule type="expression" dxfId="8931" priority="933">
      <formula>$C10&lt;$E$3</formula>
    </cfRule>
  </conditionalFormatting>
  <conditionalFormatting sqref="K10">
    <cfRule type="expression" dxfId="8930" priority="932">
      <formula>$E10=""</formula>
    </cfRule>
  </conditionalFormatting>
  <conditionalFormatting sqref="K10">
    <cfRule type="expression" dxfId="8929" priority="931">
      <formula>$C10&lt;$E$3</formula>
    </cfRule>
  </conditionalFormatting>
  <conditionalFormatting sqref="K10">
    <cfRule type="expression" dxfId="8928" priority="930">
      <formula>$E10=""</formula>
    </cfRule>
  </conditionalFormatting>
  <conditionalFormatting sqref="K10">
    <cfRule type="expression" dxfId="8927" priority="929">
      <formula>$C10&lt;$E$3</formula>
    </cfRule>
  </conditionalFormatting>
  <conditionalFormatting sqref="K10">
    <cfRule type="expression" dxfId="8926" priority="925">
      <formula>$C10=$E$3</formula>
    </cfRule>
    <cfRule type="expression" dxfId="8925" priority="926">
      <formula>$C10&lt;$E$3</formula>
    </cfRule>
    <cfRule type="cellIs" dxfId="8924" priority="927" operator="equal">
      <formula>0</formula>
    </cfRule>
    <cfRule type="expression" dxfId="8923" priority="928">
      <formula>$C10&gt;$E$3</formula>
    </cfRule>
  </conditionalFormatting>
  <conditionalFormatting sqref="K10">
    <cfRule type="expression" dxfId="8922" priority="924">
      <formula>$C10&lt;$E$3</formula>
    </cfRule>
  </conditionalFormatting>
  <conditionalFormatting sqref="K10">
    <cfRule type="expression" dxfId="8921" priority="920">
      <formula>$C10=$E$3</formula>
    </cfRule>
    <cfRule type="expression" dxfId="8920" priority="921">
      <formula>$C10&lt;$E$3</formula>
    </cfRule>
    <cfRule type="cellIs" dxfId="8919" priority="922" operator="equal">
      <formula>0</formula>
    </cfRule>
    <cfRule type="expression" dxfId="8918" priority="923">
      <formula>$C10&gt;$E$3</formula>
    </cfRule>
  </conditionalFormatting>
  <conditionalFormatting sqref="K10">
    <cfRule type="expression" dxfId="8917" priority="919">
      <formula>$C10&lt;$E$3</formula>
    </cfRule>
  </conditionalFormatting>
  <conditionalFormatting sqref="K10">
    <cfRule type="expression" dxfId="8916" priority="915">
      <formula>$C10=$E$3</formula>
    </cfRule>
    <cfRule type="expression" dxfId="8915" priority="916">
      <formula>$C10&lt;$E$3</formula>
    </cfRule>
    <cfRule type="cellIs" dxfId="8914" priority="917" operator="equal">
      <formula>0</formula>
    </cfRule>
    <cfRule type="expression" dxfId="8913" priority="918">
      <formula>$C10&gt;$E$3</formula>
    </cfRule>
  </conditionalFormatting>
  <conditionalFormatting sqref="K10">
    <cfRule type="expression" dxfId="8912" priority="914">
      <formula>$C10&lt;$E$3</formula>
    </cfRule>
  </conditionalFormatting>
  <conditionalFormatting sqref="K10">
    <cfRule type="expression" dxfId="8911" priority="910">
      <formula>$C10=$E$3</formula>
    </cfRule>
    <cfRule type="expression" dxfId="8910" priority="911">
      <formula>$C10&lt;$E$3</formula>
    </cfRule>
    <cfRule type="cellIs" dxfId="8909" priority="912" operator="equal">
      <formula>0</formula>
    </cfRule>
    <cfRule type="expression" dxfId="8908" priority="913">
      <formula>$C10&gt;$E$3</formula>
    </cfRule>
  </conditionalFormatting>
  <conditionalFormatting sqref="K10">
    <cfRule type="expression" dxfId="8907" priority="909">
      <formula>$E10=""</formula>
    </cfRule>
  </conditionalFormatting>
  <conditionalFormatting sqref="K10">
    <cfRule type="expression" dxfId="8906" priority="908">
      <formula>$C10&lt;$E$3</formula>
    </cfRule>
  </conditionalFormatting>
  <conditionalFormatting sqref="K10">
    <cfRule type="expression" dxfId="8905" priority="907">
      <formula>$E10=""</formula>
    </cfRule>
  </conditionalFormatting>
  <conditionalFormatting sqref="K10">
    <cfRule type="expression" dxfId="8904" priority="906">
      <formula>$E10=""</formula>
    </cfRule>
  </conditionalFormatting>
  <conditionalFormatting sqref="K10">
    <cfRule type="expression" dxfId="8903" priority="905">
      <formula>$C10&lt;$E$3</formula>
    </cfRule>
  </conditionalFormatting>
  <conditionalFormatting sqref="K10">
    <cfRule type="expression" dxfId="8902" priority="904">
      <formula>$E10=""</formula>
    </cfRule>
  </conditionalFormatting>
  <conditionalFormatting sqref="K10">
    <cfRule type="expression" dxfId="8901" priority="903">
      <formula>$C10&lt;$E$3</formula>
    </cfRule>
  </conditionalFormatting>
  <conditionalFormatting sqref="K10">
    <cfRule type="expression" dxfId="8900" priority="902">
      <formula>$E10=""</formula>
    </cfRule>
  </conditionalFormatting>
  <conditionalFormatting sqref="K10">
    <cfRule type="expression" dxfId="8899" priority="901">
      <formula>$C10&lt;$E$3</formula>
    </cfRule>
  </conditionalFormatting>
  <conditionalFormatting sqref="K10">
    <cfRule type="expression" dxfId="8898" priority="900">
      <formula>$E10=""</formula>
    </cfRule>
  </conditionalFormatting>
  <conditionalFormatting sqref="K5:K9">
    <cfRule type="expression" dxfId="8897" priority="899">
      <formula>$C5&lt;$E$3</formula>
    </cfRule>
  </conditionalFormatting>
  <conditionalFormatting sqref="K5:K9">
    <cfRule type="expression" dxfId="8896" priority="895">
      <formula>$C5=$E$3</formula>
    </cfRule>
    <cfRule type="expression" dxfId="8895" priority="896">
      <formula>$C5&lt;$E$3</formula>
    </cfRule>
    <cfRule type="cellIs" dxfId="8894" priority="897" operator="equal">
      <formula>0</formula>
    </cfRule>
    <cfRule type="expression" dxfId="8893" priority="898">
      <formula>$C5&gt;$E$3</formula>
    </cfRule>
  </conditionalFormatting>
  <conditionalFormatting sqref="K5:K9">
    <cfRule type="expression" dxfId="8892" priority="894">
      <formula>$C5&lt;$E$3</formula>
    </cfRule>
  </conditionalFormatting>
  <conditionalFormatting sqref="K5:K9">
    <cfRule type="expression" dxfId="8891" priority="890">
      <formula>$C5=$E$3</formula>
    </cfRule>
    <cfRule type="expression" dxfId="8890" priority="891">
      <formula>$C5&lt;$E$3</formula>
    </cfRule>
    <cfRule type="cellIs" dxfId="8889" priority="892" operator="equal">
      <formula>0</formula>
    </cfRule>
    <cfRule type="expression" dxfId="8888" priority="893">
      <formula>$C5&gt;$E$3</formula>
    </cfRule>
  </conditionalFormatting>
  <conditionalFormatting sqref="K5:K9">
    <cfRule type="expression" dxfId="8887" priority="889">
      <formula>$C5&lt;$E$3</formula>
    </cfRule>
  </conditionalFormatting>
  <conditionalFormatting sqref="K5:K9">
    <cfRule type="expression" dxfId="8886" priority="885">
      <formula>$C5=$E$3</formula>
    </cfRule>
    <cfRule type="expression" dxfId="8885" priority="886">
      <formula>$C5&lt;$E$3</formula>
    </cfRule>
    <cfRule type="cellIs" dxfId="8884" priority="887" operator="equal">
      <formula>0</formula>
    </cfRule>
    <cfRule type="expression" dxfId="8883" priority="888">
      <formula>$C5&gt;$E$3</formula>
    </cfRule>
  </conditionalFormatting>
  <conditionalFormatting sqref="K5:K9">
    <cfRule type="expression" dxfId="8882" priority="884">
      <formula>$C5&lt;$E$3</formula>
    </cfRule>
  </conditionalFormatting>
  <conditionalFormatting sqref="K5:K9">
    <cfRule type="expression" dxfId="8881" priority="880">
      <formula>$C5=$E$3</formula>
    </cfRule>
    <cfRule type="expression" dxfId="8880" priority="881">
      <formula>$C5&lt;$E$3</formula>
    </cfRule>
    <cfRule type="cellIs" dxfId="8879" priority="882" operator="equal">
      <formula>0</formula>
    </cfRule>
    <cfRule type="expression" dxfId="8878" priority="883">
      <formula>$C5&gt;$E$3</formula>
    </cfRule>
  </conditionalFormatting>
  <conditionalFormatting sqref="K5:K9">
    <cfRule type="expression" dxfId="8877" priority="879">
      <formula>$E5=""</formula>
    </cfRule>
  </conditionalFormatting>
  <conditionalFormatting sqref="K5:K9">
    <cfRule type="expression" dxfId="8876" priority="878">
      <formula>$C5&lt;$E$3</formula>
    </cfRule>
  </conditionalFormatting>
  <conditionalFormatting sqref="K5:K9">
    <cfRule type="expression" dxfId="8875" priority="877">
      <formula>$E5=""</formula>
    </cfRule>
  </conditionalFormatting>
  <conditionalFormatting sqref="K5:K9">
    <cfRule type="expression" dxfId="8874" priority="876">
      <formula>$E5=""</formula>
    </cfRule>
  </conditionalFormatting>
  <conditionalFormatting sqref="K5:K9">
    <cfRule type="expression" dxfId="8873" priority="875">
      <formula>$C5&lt;$E$3</formula>
    </cfRule>
  </conditionalFormatting>
  <conditionalFormatting sqref="K5:K9">
    <cfRule type="expression" dxfId="8872" priority="874">
      <formula>$E5=""</formula>
    </cfRule>
  </conditionalFormatting>
  <conditionalFormatting sqref="K5:K9">
    <cfRule type="expression" dxfId="8871" priority="873">
      <formula>$C5&lt;$E$3</formula>
    </cfRule>
  </conditionalFormatting>
  <conditionalFormatting sqref="K5:K9">
    <cfRule type="expression" dxfId="8870" priority="872">
      <formula>$E5=""</formula>
    </cfRule>
  </conditionalFormatting>
  <conditionalFormatting sqref="K5:K9">
    <cfRule type="expression" dxfId="8869" priority="871">
      <formula>$C5&lt;$E$3</formula>
    </cfRule>
  </conditionalFormatting>
  <conditionalFormatting sqref="K5:K9">
    <cfRule type="expression" dxfId="8868" priority="870">
      <formula>$E5=""</formula>
    </cfRule>
  </conditionalFormatting>
  <conditionalFormatting sqref="K5:K9">
    <cfRule type="expression" dxfId="8867" priority="869">
      <formula>$C5&lt;$E$3</formula>
    </cfRule>
  </conditionalFormatting>
  <conditionalFormatting sqref="K5:K9">
    <cfRule type="expression" dxfId="8866" priority="865">
      <formula>$C5=$E$3</formula>
    </cfRule>
    <cfRule type="expression" dxfId="8865" priority="866">
      <formula>$C5&lt;$E$3</formula>
    </cfRule>
    <cfRule type="cellIs" dxfId="8864" priority="867" operator="equal">
      <formula>0</formula>
    </cfRule>
    <cfRule type="expression" dxfId="8863" priority="868">
      <formula>$C5&gt;$E$3</formula>
    </cfRule>
  </conditionalFormatting>
  <conditionalFormatting sqref="K5:K9">
    <cfRule type="expression" dxfId="8862" priority="864">
      <formula>$C5&lt;$E$3</formula>
    </cfRule>
  </conditionalFormatting>
  <conditionalFormatting sqref="K5:K9">
    <cfRule type="expression" dxfId="8861" priority="860">
      <formula>$C5=$E$3</formula>
    </cfRule>
    <cfRule type="expression" dxfId="8860" priority="861">
      <formula>$C5&lt;$E$3</formula>
    </cfRule>
    <cfRule type="cellIs" dxfId="8859" priority="862" operator="equal">
      <formula>0</formula>
    </cfRule>
    <cfRule type="expression" dxfId="8858" priority="863">
      <formula>$C5&gt;$E$3</formula>
    </cfRule>
  </conditionalFormatting>
  <conditionalFormatting sqref="K5:K9">
    <cfRule type="expression" dxfId="8857" priority="859">
      <formula>$C5&lt;$E$3</formula>
    </cfRule>
  </conditionalFormatting>
  <conditionalFormatting sqref="K5:K9">
    <cfRule type="expression" dxfId="8856" priority="855">
      <formula>$C5=$E$3</formula>
    </cfRule>
    <cfRule type="expression" dxfId="8855" priority="856">
      <formula>$C5&lt;$E$3</formula>
    </cfRule>
    <cfRule type="cellIs" dxfId="8854" priority="857" operator="equal">
      <formula>0</formula>
    </cfRule>
    <cfRule type="expression" dxfId="8853" priority="858">
      <formula>$C5&gt;$E$3</formula>
    </cfRule>
  </conditionalFormatting>
  <conditionalFormatting sqref="K5:K9">
    <cfRule type="expression" dxfId="8852" priority="854">
      <formula>$C5&lt;$E$3</formula>
    </cfRule>
  </conditionalFormatting>
  <conditionalFormatting sqref="K5:K9">
    <cfRule type="expression" dxfId="8851" priority="850">
      <formula>$C5=$E$3</formula>
    </cfRule>
    <cfRule type="expression" dxfId="8850" priority="851">
      <formula>$C5&lt;$E$3</formula>
    </cfRule>
    <cfRule type="cellIs" dxfId="8849" priority="852" operator="equal">
      <formula>0</formula>
    </cfRule>
    <cfRule type="expression" dxfId="8848" priority="853">
      <formula>$C5&gt;$E$3</formula>
    </cfRule>
  </conditionalFormatting>
  <conditionalFormatting sqref="K5:K9">
    <cfRule type="expression" dxfId="8847" priority="849">
      <formula>$E5=""</formula>
    </cfRule>
  </conditionalFormatting>
  <conditionalFormatting sqref="K5:K9">
    <cfRule type="expression" dxfId="8846" priority="848">
      <formula>$C5&lt;$E$3</formula>
    </cfRule>
  </conditionalFormatting>
  <conditionalFormatting sqref="K5:K9">
    <cfRule type="expression" dxfId="8845" priority="847">
      <formula>$E5=""</formula>
    </cfRule>
  </conditionalFormatting>
  <conditionalFormatting sqref="K5:K9">
    <cfRule type="expression" dxfId="8844" priority="846">
      <formula>$E5=""</formula>
    </cfRule>
  </conditionalFormatting>
  <conditionalFormatting sqref="K5:K9">
    <cfRule type="expression" dxfId="8843" priority="845">
      <formula>$C5&lt;$E$3</formula>
    </cfRule>
  </conditionalFormatting>
  <conditionalFormatting sqref="K5:K9">
    <cfRule type="expression" dxfId="8842" priority="844">
      <formula>$E5=""</formula>
    </cfRule>
  </conditionalFormatting>
  <conditionalFormatting sqref="K5:K9">
    <cfRule type="expression" dxfId="8841" priority="843">
      <formula>$C5&lt;$E$3</formula>
    </cfRule>
  </conditionalFormatting>
  <conditionalFormatting sqref="K5:K9">
    <cfRule type="expression" dxfId="8840" priority="842">
      <formula>$E5=""</formula>
    </cfRule>
  </conditionalFormatting>
  <conditionalFormatting sqref="K5:K9">
    <cfRule type="expression" dxfId="8839" priority="841">
      <formula>$C5&lt;$E$3</formula>
    </cfRule>
  </conditionalFormatting>
  <conditionalFormatting sqref="K5:K9">
    <cfRule type="expression" dxfId="8838" priority="840">
      <formula>$E5=""</formula>
    </cfRule>
  </conditionalFormatting>
  <conditionalFormatting sqref="H23:H29 H32 H14:H20 H11">
    <cfRule type="cellIs" dxfId="8837" priority="839" stopIfTrue="1" operator="lessThan">
      <formula>0</formula>
    </cfRule>
  </conditionalFormatting>
  <conditionalFormatting sqref="H12">
    <cfRule type="expression" dxfId="8836" priority="838">
      <formula>$F12&gt;=$F13</formula>
    </cfRule>
  </conditionalFormatting>
  <conditionalFormatting sqref="H21">
    <cfRule type="expression" dxfId="8835" priority="837">
      <formula>$F21&gt;=$F22</formula>
    </cfRule>
  </conditionalFormatting>
  <conditionalFormatting sqref="H30">
    <cfRule type="expression" dxfId="8834" priority="836">
      <formula>$F30&gt;=$F31</formula>
    </cfRule>
  </conditionalFormatting>
  <conditionalFormatting sqref="H12">
    <cfRule type="expression" dxfId="8833" priority="835">
      <formula>$F12&gt;=$F13</formula>
    </cfRule>
  </conditionalFormatting>
  <conditionalFormatting sqref="H21">
    <cfRule type="expression" dxfId="8832" priority="834">
      <formula>$F21&gt;=$F22</formula>
    </cfRule>
  </conditionalFormatting>
  <conditionalFormatting sqref="H30">
    <cfRule type="expression" dxfId="8831" priority="833">
      <formula>$F30&gt;=$F31</formula>
    </cfRule>
  </conditionalFormatting>
  <conditionalFormatting sqref="H11">
    <cfRule type="expression" dxfId="8830" priority="831">
      <formula>$C11&lt;$E$3</formula>
    </cfRule>
  </conditionalFormatting>
  <conditionalFormatting sqref="H11">
    <cfRule type="expression" dxfId="8829" priority="828">
      <formula>$C11=$E$3</formula>
    </cfRule>
    <cfRule type="expression" dxfId="8828" priority="829">
      <formula>$C11&lt;$E$3</formula>
    </cfRule>
    <cfRule type="cellIs" dxfId="8827" priority="830" operator="equal">
      <formula>0</formula>
    </cfRule>
    <cfRule type="expression" dxfId="8826" priority="832">
      <formula>$C11&gt;$E$3</formula>
    </cfRule>
  </conditionalFormatting>
  <conditionalFormatting sqref="H11">
    <cfRule type="expression" dxfId="8825" priority="827">
      <formula>$C11&lt;$E$3</formula>
    </cfRule>
  </conditionalFormatting>
  <conditionalFormatting sqref="H11">
    <cfRule type="expression" dxfId="8824" priority="823">
      <formula>$C11=$E$3</formula>
    </cfRule>
    <cfRule type="expression" dxfId="8823" priority="824">
      <formula>$C11&lt;$E$3</formula>
    </cfRule>
    <cfRule type="cellIs" dxfId="8822" priority="825" operator="equal">
      <formula>0</formula>
    </cfRule>
    <cfRule type="expression" dxfId="8821" priority="826">
      <formula>$C11&gt;$E$3</formula>
    </cfRule>
  </conditionalFormatting>
  <conditionalFormatting sqref="H11">
    <cfRule type="expression" dxfId="8820" priority="822">
      <formula>$C11&lt;$E$3</formula>
    </cfRule>
  </conditionalFormatting>
  <conditionalFormatting sqref="H11">
    <cfRule type="expression" dxfId="8819" priority="818">
      <formula>$C11=$E$3</formula>
    </cfRule>
    <cfRule type="expression" dxfId="8818" priority="819">
      <formula>$C11&lt;$E$3</formula>
    </cfRule>
    <cfRule type="cellIs" dxfId="8817" priority="820" operator="equal">
      <formula>0</formula>
    </cfRule>
    <cfRule type="expression" dxfId="8816" priority="821">
      <formula>$C11&gt;$E$3</formula>
    </cfRule>
  </conditionalFormatting>
  <conditionalFormatting sqref="H11">
    <cfRule type="expression" dxfId="8815" priority="817">
      <formula>$C11&lt;$E$3</formula>
    </cfRule>
  </conditionalFormatting>
  <conditionalFormatting sqref="H11">
    <cfRule type="expression" dxfId="8814" priority="813">
      <formula>$C11=$E$3</formula>
    </cfRule>
    <cfRule type="expression" dxfId="8813" priority="814">
      <formula>$C11&lt;$E$3</formula>
    </cfRule>
    <cfRule type="cellIs" dxfId="8812" priority="815" operator="equal">
      <formula>0</formula>
    </cfRule>
    <cfRule type="expression" dxfId="8811" priority="816">
      <formula>$C11&gt;$E$3</formula>
    </cfRule>
  </conditionalFormatting>
  <conditionalFormatting sqref="H11">
    <cfRule type="expression" dxfId="8810" priority="812">
      <formula>$E11=""</formula>
    </cfRule>
  </conditionalFormatting>
  <conditionalFormatting sqref="H11">
    <cfRule type="expression" dxfId="8809" priority="811">
      <formula>$C11&lt;$E$3</formula>
    </cfRule>
  </conditionalFormatting>
  <conditionalFormatting sqref="H11">
    <cfRule type="expression" dxfId="8808" priority="810">
      <formula>$E11=""</formula>
    </cfRule>
  </conditionalFormatting>
  <conditionalFormatting sqref="H11">
    <cfRule type="expression" dxfId="8807" priority="809">
      <formula>$E11=""</formula>
    </cfRule>
  </conditionalFormatting>
  <conditionalFormatting sqref="H11">
    <cfRule type="expression" dxfId="8806" priority="808">
      <formula>$C11&lt;$E$3</formula>
    </cfRule>
  </conditionalFormatting>
  <conditionalFormatting sqref="H11">
    <cfRule type="expression" dxfId="8805" priority="807">
      <formula>$E11=""</formula>
    </cfRule>
  </conditionalFormatting>
  <conditionalFormatting sqref="H11">
    <cfRule type="expression" dxfId="8804" priority="806">
      <formula>$C11&lt;$E$3</formula>
    </cfRule>
  </conditionalFormatting>
  <conditionalFormatting sqref="H11">
    <cfRule type="expression" dxfId="8803" priority="805">
      <formula>$E11=""</formula>
    </cfRule>
  </conditionalFormatting>
  <conditionalFormatting sqref="H11">
    <cfRule type="expression" dxfId="8802" priority="804">
      <formula>$C11&lt;$E$3</formula>
    </cfRule>
  </conditionalFormatting>
  <conditionalFormatting sqref="H11">
    <cfRule type="expression" dxfId="8801" priority="803">
      <formula>$E11=""</formula>
    </cfRule>
  </conditionalFormatting>
  <conditionalFormatting sqref="H14:H20">
    <cfRule type="expression" dxfId="8800" priority="801">
      <formula>$C14&lt;$E$3</formula>
    </cfRule>
  </conditionalFormatting>
  <conditionalFormatting sqref="H14:H20">
    <cfRule type="expression" dxfId="8799" priority="798">
      <formula>$C14=$E$3</formula>
    </cfRule>
    <cfRule type="expression" dxfId="8798" priority="799">
      <formula>$C14&lt;$E$3</formula>
    </cfRule>
    <cfRule type="cellIs" dxfId="8797" priority="800" operator="equal">
      <formula>0</formula>
    </cfRule>
    <cfRule type="expression" dxfId="8796" priority="802">
      <formula>$C14&gt;$E$3</formula>
    </cfRule>
  </conditionalFormatting>
  <conditionalFormatting sqref="H14:H20">
    <cfRule type="expression" dxfId="8795" priority="797">
      <formula>$C14&lt;$E$3</formula>
    </cfRule>
  </conditionalFormatting>
  <conditionalFormatting sqref="H14:H20">
    <cfRule type="expression" dxfId="8794" priority="793">
      <formula>$C14=$E$3</formula>
    </cfRule>
    <cfRule type="expression" dxfId="8793" priority="794">
      <formula>$C14&lt;$E$3</formula>
    </cfRule>
    <cfRule type="cellIs" dxfId="8792" priority="795" operator="equal">
      <formula>0</formula>
    </cfRule>
    <cfRule type="expression" dxfId="8791" priority="796">
      <formula>$C14&gt;$E$3</formula>
    </cfRule>
  </conditionalFormatting>
  <conditionalFormatting sqref="H14:H20">
    <cfRule type="expression" dxfId="8790" priority="792">
      <formula>$C14&lt;$E$3</formula>
    </cfRule>
  </conditionalFormatting>
  <conditionalFormatting sqref="H14:H20">
    <cfRule type="expression" dxfId="8789" priority="788">
      <formula>$C14=$E$3</formula>
    </cfRule>
    <cfRule type="expression" dxfId="8788" priority="789">
      <formula>$C14&lt;$E$3</formula>
    </cfRule>
    <cfRule type="cellIs" dxfId="8787" priority="790" operator="equal">
      <formula>0</formula>
    </cfRule>
    <cfRule type="expression" dxfId="8786" priority="791">
      <formula>$C14&gt;$E$3</formula>
    </cfRule>
  </conditionalFormatting>
  <conditionalFormatting sqref="H14:H20">
    <cfRule type="expression" dxfId="8785" priority="787">
      <formula>$C14&lt;$E$3</formula>
    </cfRule>
  </conditionalFormatting>
  <conditionalFormatting sqref="H14:H20">
    <cfRule type="expression" dxfId="8784" priority="783">
      <formula>$C14=$E$3</formula>
    </cfRule>
    <cfRule type="expression" dxfId="8783" priority="784">
      <formula>$C14&lt;$E$3</formula>
    </cfRule>
    <cfRule type="cellIs" dxfId="8782" priority="785" operator="equal">
      <formula>0</formula>
    </cfRule>
    <cfRule type="expression" dxfId="8781" priority="786">
      <formula>$C14&gt;$E$3</formula>
    </cfRule>
  </conditionalFormatting>
  <conditionalFormatting sqref="H14:H20">
    <cfRule type="expression" dxfId="8780" priority="782">
      <formula>$E14=""</formula>
    </cfRule>
  </conditionalFormatting>
  <conditionalFormatting sqref="H14:H20">
    <cfRule type="expression" dxfId="8779" priority="781">
      <formula>$C14&lt;$E$3</formula>
    </cfRule>
  </conditionalFormatting>
  <conditionalFormatting sqref="H14:H20">
    <cfRule type="expression" dxfId="8778" priority="780">
      <formula>$E14=""</formula>
    </cfRule>
  </conditionalFormatting>
  <conditionalFormatting sqref="H14:H20">
    <cfRule type="expression" dxfId="8777" priority="779">
      <formula>$E14=""</formula>
    </cfRule>
  </conditionalFormatting>
  <conditionalFormatting sqref="H14:H20">
    <cfRule type="expression" dxfId="8776" priority="778">
      <formula>$C14&lt;$E$3</formula>
    </cfRule>
  </conditionalFormatting>
  <conditionalFormatting sqref="H14:H20">
    <cfRule type="expression" dxfId="8775" priority="777">
      <formula>$E14=""</formula>
    </cfRule>
  </conditionalFormatting>
  <conditionalFormatting sqref="H14:H20">
    <cfRule type="expression" dxfId="8774" priority="776">
      <formula>$C14&lt;$E$3</formula>
    </cfRule>
  </conditionalFormatting>
  <conditionalFormatting sqref="H14:H20">
    <cfRule type="expression" dxfId="8773" priority="775">
      <formula>$E14=""</formula>
    </cfRule>
  </conditionalFormatting>
  <conditionalFormatting sqref="H14:H20">
    <cfRule type="expression" dxfId="8772" priority="774">
      <formula>$C14&lt;$E$3</formula>
    </cfRule>
  </conditionalFormatting>
  <conditionalFormatting sqref="H14:H20">
    <cfRule type="expression" dxfId="8771" priority="773">
      <formula>$E14=""</formula>
    </cfRule>
  </conditionalFormatting>
  <conditionalFormatting sqref="H23:H29">
    <cfRule type="expression" dxfId="8770" priority="771">
      <formula>$C23&lt;$E$3</formula>
    </cfRule>
  </conditionalFormatting>
  <conditionalFormatting sqref="H23:H29">
    <cfRule type="expression" dxfId="8769" priority="768">
      <formula>$C23=$E$3</formula>
    </cfRule>
    <cfRule type="expression" dxfId="8768" priority="769">
      <formula>$C23&lt;$E$3</formula>
    </cfRule>
    <cfRule type="cellIs" dxfId="8767" priority="770" operator="equal">
      <formula>0</formula>
    </cfRule>
    <cfRule type="expression" dxfId="8766" priority="772">
      <formula>$C23&gt;$E$3</formula>
    </cfRule>
  </conditionalFormatting>
  <conditionalFormatting sqref="H23:H29">
    <cfRule type="expression" dxfId="8765" priority="767">
      <formula>$C23&lt;$E$3</formula>
    </cfRule>
  </conditionalFormatting>
  <conditionalFormatting sqref="H23:H29">
    <cfRule type="expression" dxfId="8764" priority="763">
      <formula>$C23=$E$3</formula>
    </cfRule>
    <cfRule type="expression" dxfId="8763" priority="764">
      <formula>$C23&lt;$E$3</formula>
    </cfRule>
    <cfRule type="cellIs" dxfId="8762" priority="765" operator="equal">
      <formula>0</formula>
    </cfRule>
    <cfRule type="expression" dxfId="8761" priority="766">
      <formula>$C23&gt;$E$3</formula>
    </cfRule>
  </conditionalFormatting>
  <conditionalFormatting sqref="H23:H29">
    <cfRule type="expression" dxfId="8760" priority="762">
      <formula>$C23&lt;$E$3</formula>
    </cfRule>
  </conditionalFormatting>
  <conditionalFormatting sqref="H23:H29">
    <cfRule type="expression" dxfId="8759" priority="758">
      <formula>$C23=$E$3</formula>
    </cfRule>
    <cfRule type="expression" dxfId="8758" priority="759">
      <formula>$C23&lt;$E$3</formula>
    </cfRule>
    <cfRule type="cellIs" dxfId="8757" priority="760" operator="equal">
      <formula>0</formula>
    </cfRule>
    <cfRule type="expression" dxfId="8756" priority="761">
      <formula>$C23&gt;$E$3</formula>
    </cfRule>
  </conditionalFormatting>
  <conditionalFormatting sqref="H23:H29">
    <cfRule type="expression" dxfId="8755" priority="757">
      <formula>$C23&lt;$E$3</formula>
    </cfRule>
  </conditionalFormatting>
  <conditionalFormatting sqref="H23:H29">
    <cfRule type="expression" dxfId="8754" priority="753">
      <formula>$C23=$E$3</formula>
    </cfRule>
    <cfRule type="expression" dxfId="8753" priority="754">
      <formula>$C23&lt;$E$3</formula>
    </cfRule>
    <cfRule type="cellIs" dxfId="8752" priority="755" operator="equal">
      <formula>0</formula>
    </cfRule>
    <cfRule type="expression" dxfId="8751" priority="756">
      <formula>$C23&gt;$E$3</formula>
    </cfRule>
  </conditionalFormatting>
  <conditionalFormatting sqref="H23:H29">
    <cfRule type="expression" dxfId="8750" priority="752">
      <formula>$E23=""</formula>
    </cfRule>
  </conditionalFormatting>
  <conditionalFormatting sqref="H23:H29">
    <cfRule type="expression" dxfId="8749" priority="751">
      <formula>$C23&lt;$E$3</formula>
    </cfRule>
  </conditionalFormatting>
  <conditionalFormatting sqref="H23:H29">
    <cfRule type="expression" dxfId="8748" priority="750">
      <formula>$E23=""</formula>
    </cfRule>
  </conditionalFormatting>
  <conditionalFormatting sqref="H23:H29">
    <cfRule type="expression" dxfId="8747" priority="749">
      <formula>$E23=""</formula>
    </cfRule>
  </conditionalFormatting>
  <conditionalFormatting sqref="H23:H29">
    <cfRule type="expression" dxfId="8746" priority="748">
      <formula>$C23&lt;$E$3</formula>
    </cfRule>
  </conditionalFormatting>
  <conditionalFormatting sqref="H23:H29">
    <cfRule type="expression" dxfId="8745" priority="747">
      <formula>$E23=""</formula>
    </cfRule>
  </conditionalFormatting>
  <conditionalFormatting sqref="H23:H29">
    <cfRule type="expression" dxfId="8744" priority="746">
      <formula>$C23&lt;$E$3</formula>
    </cfRule>
  </conditionalFormatting>
  <conditionalFormatting sqref="H23:H29">
    <cfRule type="expression" dxfId="8743" priority="745">
      <formula>$E23=""</formula>
    </cfRule>
  </conditionalFormatting>
  <conditionalFormatting sqref="H23:H29">
    <cfRule type="expression" dxfId="8742" priority="744">
      <formula>$C23&lt;$E$3</formula>
    </cfRule>
  </conditionalFormatting>
  <conditionalFormatting sqref="H23:H29">
    <cfRule type="expression" dxfId="8741" priority="743">
      <formula>$E23=""</formula>
    </cfRule>
  </conditionalFormatting>
  <conditionalFormatting sqref="H32">
    <cfRule type="expression" dxfId="8740" priority="741">
      <formula>$C32&lt;$E$3</formula>
    </cfRule>
  </conditionalFormatting>
  <conditionalFormatting sqref="H32">
    <cfRule type="expression" dxfId="8739" priority="738">
      <formula>$C32=$E$3</formula>
    </cfRule>
    <cfRule type="expression" dxfId="8738" priority="739">
      <formula>$C32&lt;$E$3</formula>
    </cfRule>
    <cfRule type="cellIs" dxfId="8737" priority="740" operator="equal">
      <formula>0</formula>
    </cfRule>
    <cfRule type="expression" dxfId="8736" priority="742">
      <formula>$C32&gt;$E$3</formula>
    </cfRule>
  </conditionalFormatting>
  <conditionalFormatting sqref="H32">
    <cfRule type="expression" dxfId="8735" priority="737">
      <formula>$C32&lt;$E$3</formula>
    </cfRule>
  </conditionalFormatting>
  <conditionalFormatting sqref="H32">
    <cfRule type="expression" dxfId="8734" priority="733">
      <formula>$C32=$E$3</formula>
    </cfRule>
    <cfRule type="expression" dxfId="8733" priority="734">
      <formula>$C32&lt;$E$3</formula>
    </cfRule>
    <cfRule type="cellIs" dxfId="8732" priority="735" operator="equal">
      <formula>0</formula>
    </cfRule>
    <cfRule type="expression" dxfId="8731" priority="736">
      <formula>$C32&gt;$E$3</formula>
    </cfRule>
  </conditionalFormatting>
  <conditionalFormatting sqref="H32">
    <cfRule type="expression" dxfId="8730" priority="732">
      <formula>$C32&lt;$E$3</formula>
    </cfRule>
  </conditionalFormatting>
  <conditionalFormatting sqref="H32">
    <cfRule type="expression" dxfId="8729" priority="728">
      <formula>$C32=$E$3</formula>
    </cfRule>
    <cfRule type="expression" dxfId="8728" priority="729">
      <formula>$C32&lt;$E$3</formula>
    </cfRule>
    <cfRule type="cellIs" dxfId="8727" priority="730" operator="equal">
      <formula>0</formula>
    </cfRule>
    <cfRule type="expression" dxfId="8726" priority="731">
      <formula>$C32&gt;$E$3</formula>
    </cfRule>
  </conditionalFormatting>
  <conditionalFormatting sqref="H32">
    <cfRule type="expression" dxfId="8725" priority="727">
      <formula>$C32&lt;$E$3</formula>
    </cfRule>
  </conditionalFormatting>
  <conditionalFormatting sqref="H32">
    <cfRule type="expression" dxfId="8724" priority="723">
      <formula>$C32=$E$3</formula>
    </cfRule>
    <cfRule type="expression" dxfId="8723" priority="724">
      <formula>$C32&lt;$E$3</formula>
    </cfRule>
    <cfRule type="cellIs" dxfId="8722" priority="725" operator="equal">
      <formula>0</formula>
    </cfRule>
    <cfRule type="expression" dxfId="8721" priority="726">
      <formula>$C32&gt;$E$3</formula>
    </cfRule>
  </conditionalFormatting>
  <conditionalFormatting sqref="H32">
    <cfRule type="expression" dxfId="8720" priority="722">
      <formula>$E32=""</formula>
    </cfRule>
  </conditionalFormatting>
  <conditionalFormatting sqref="H32">
    <cfRule type="expression" dxfId="8719" priority="721">
      <formula>$C32&lt;$E$3</formula>
    </cfRule>
  </conditionalFormatting>
  <conditionalFormatting sqref="H32">
    <cfRule type="expression" dxfId="8718" priority="720">
      <formula>$E32=""</formula>
    </cfRule>
  </conditionalFormatting>
  <conditionalFormatting sqref="H32">
    <cfRule type="expression" dxfId="8717" priority="719">
      <formula>$E32=""</formula>
    </cfRule>
  </conditionalFormatting>
  <conditionalFormatting sqref="H32">
    <cfRule type="expression" dxfId="8716" priority="718">
      <formula>$C32&lt;$E$3</formula>
    </cfRule>
  </conditionalFormatting>
  <conditionalFormatting sqref="H32">
    <cfRule type="expression" dxfId="8715" priority="717">
      <formula>$E32=""</formula>
    </cfRule>
  </conditionalFormatting>
  <conditionalFormatting sqref="H32">
    <cfRule type="expression" dxfId="8714" priority="716">
      <formula>$C32&lt;$E$3</formula>
    </cfRule>
  </conditionalFormatting>
  <conditionalFormatting sqref="H32">
    <cfRule type="expression" dxfId="8713" priority="715">
      <formula>$E32=""</formula>
    </cfRule>
  </conditionalFormatting>
  <conditionalFormatting sqref="H32">
    <cfRule type="expression" dxfId="8712" priority="714">
      <formula>$C32&lt;$E$3</formula>
    </cfRule>
  </conditionalFormatting>
  <conditionalFormatting sqref="H32">
    <cfRule type="expression" dxfId="8711" priority="713">
      <formula>$E32=""</formula>
    </cfRule>
  </conditionalFormatting>
  <conditionalFormatting sqref="F52:H52">
    <cfRule type="expression" dxfId="8710" priority="1210" stopIfTrue="1">
      <formula>$H$52=-1E-55</formula>
    </cfRule>
    <cfRule type="expression" dxfId="8709" priority="1211">
      <formula>$F52&gt;=$F53</formula>
    </cfRule>
  </conditionalFormatting>
  <conditionalFormatting sqref="K48:K49">
    <cfRule type="cellIs" dxfId="8708" priority="711" stopIfTrue="1" operator="lessThan">
      <formula>0</formula>
    </cfRule>
  </conditionalFormatting>
  <conditionalFormatting sqref="K48:K49">
    <cfRule type="expression" dxfId="8707" priority="710">
      <formula>$C68&lt;$E$3</formula>
    </cfRule>
  </conditionalFormatting>
  <conditionalFormatting sqref="K48:K49">
    <cfRule type="expression" dxfId="8706" priority="706">
      <formula>$C68=$E$3</formula>
    </cfRule>
    <cfRule type="expression" dxfId="8705" priority="707">
      <formula>$C68&lt;$E$3</formula>
    </cfRule>
    <cfRule type="cellIs" dxfId="8704" priority="708" operator="equal">
      <formula>0</formula>
    </cfRule>
    <cfRule type="expression" dxfId="8703" priority="709">
      <formula>$C68&gt;$E$3</formula>
    </cfRule>
  </conditionalFormatting>
  <conditionalFormatting sqref="K48:K49">
    <cfRule type="expression" dxfId="8702" priority="705">
      <formula>$C68&lt;$E$3</formula>
    </cfRule>
  </conditionalFormatting>
  <conditionalFormatting sqref="K48:K49">
    <cfRule type="expression" dxfId="8701" priority="701">
      <formula>$C68=$E$3</formula>
    </cfRule>
    <cfRule type="expression" dxfId="8700" priority="702">
      <formula>$C68&lt;$E$3</formula>
    </cfRule>
    <cfRule type="cellIs" dxfId="8699" priority="703" operator="equal">
      <formula>0</formula>
    </cfRule>
    <cfRule type="expression" dxfId="8698" priority="704">
      <formula>$C68&gt;$E$3</formula>
    </cfRule>
  </conditionalFormatting>
  <conditionalFormatting sqref="K48:K49">
    <cfRule type="expression" dxfId="8697" priority="700">
      <formula>$C68&lt;$E$3</formula>
    </cfRule>
  </conditionalFormatting>
  <conditionalFormatting sqref="K48:K49">
    <cfRule type="expression" dxfId="8696" priority="696">
      <formula>$C68=$E$3</formula>
    </cfRule>
    <cfRule type="expression" dxfId="8695" priority="697">
      <formula>$C68&lt;$E$3</formula>
    </cfRule>
    <cfRule type="cellIs" dxfId="8694" priority="698" operator="equal">
      <formula>0</formula>
    </cfRule>
    <cfRule type="expression" dxfId="8693" priority="699">
      <formula>$C68&gt;$E$3</formula>
    </cfRule>
  </conditionalFormatting>
  <conditionalFormatting sqref="K48:K49">
    <cfRule type="expression" dxfId="8692" priority="695">
      <formula>$C68&lt;$E$3</formula>
    </cfRule>
  </conditionalFormatting>
  <conditionalFormatting sqref="K48:K49">
    <cfRule type="expression" dxfId="8691" priority="691">
      <formula>$C68=$E$3</formula>
    </cfRule>
    <cfRule type="expression" dxfId="8690" priority="692">
      <formula>$C68&lt;$E$3</formula>
    </cfRule>
    <cfRule type="cellIs" dxfId="8689" priority="693" operator="equal">
      <formula>0</formula>
    </cfRule>
    <cfRule type="expression" dxfId="8688" priority="694">
      <formula>$C68&gt;$E$3</formula>
    </cfRule>
  </conditionalFormatting>
  <conditionalFormatting sqref="K48:K49">
    <cfRule type="expression" dxfId="8687" priority="690">
      <formula>$E68=""</formula>
    </cfRule>
  </conditionalFormatting>
  <conditionalFormatting sqref="K48:K49">
    <cfRule type="expression" dxfId="8686" priority="689">
      <formula>$C68&lt;$E$3</formula>
    </cfRule>
  </conditionalFormatting>
  <conditionalFormatting sqref="K48:K49">
    <cfRule type="expression" dxfId="8685" priority="688">
      <formula>$E68=""</formula>
    </cfRule>
  </conditionalFormatting>
  <conditionalFormatting sqref="K48:K49">
    <cfRule type="expression" dxfId="8684" priority="687">
      <formula>$E68=""</formula>
    </cfRule>
  </conditionalFormatting>
  <conditionalFormatting sqref="K48:K49">
    <cfRule type="expression" dxfId="8683" priority="686">
      <formula>$C68&lt;$E$3</formula>
    </cfRule>
  </conditionalFormatting>
  <conditionalFormatting sqref="K48:K49">
    <cfRule type="expression" dxfId="8682" priority="685">
      <formula>$E68=""</formula>
    </cfRule>
  </conditionalFormatting>
  <conditionalFormatting sqref="K48:K49">
    <cfRule type="expression" dxfId="8681" priority="684">
      <formula>$C68&lt;$E$3</formula>
    </cfRule>
  </conditionalFormatting>
  <conditionalFormatting sqref="K48:K49">
    <cfRule type="expression" dxfId="8680" priority="683">
      <formula>$E68=""</formula>
    </cfRule>
  </conditionalFormatting>
  <conditionalFormatting sqref="K48:K49">
    <cfRule type="expression" dxfId="8679" priority="682">
      <formula>$C68&lt;$E$3</formula>
    </cfRule>
  </conditionalFormatting>
  <conditionalFormatting sqref="K48:K49">
    <cfRule type="expression" dxfId="8678" priority="681">
      <formula>$E68=""</formula>
    </cfRule>
  </conditionalFormatting>
  <conditionalFormatting sqref="K48:K49">
    <cfRule type="expression" dxfId="8677" priority="680">
      <formula>$C68&lt;$E$3</formula>
    </cfRule>
  </conditionalFormatting>
  <conditionalFormatting sqref="K48:K49">
    <cfRule type="expression" dxfId="8676" priority="676">
      <formula>$C68=$E$3</formula>
    </cfRule>
    <cfRule type="expression" dxfId="8675" priority="677">
      <formula>$C68&lt;$E$3</formula>
    </cfRule>
    <cfRule type="cellIs" dxfId="8674" priority="678" operator="equal">
      <formula>0</formula>
    </cfRule>
    <cfRule type="expression" dxfId="8673" priority="679">
      <formula>$C68&gt;$E$3</formula>
    </cfRule>
  </conditionalFormatting>
  <conditionalFormatting sqref="K48:K49">
    <cfRule type="expression" dxfId="8672" priority="675">
      <formula>$C68&lt;$E$3</formula>
    </cfRule>
  </conditionalFormatting>
  <conditionalFormatting sqref="K48:K49">
    <cfRule type="expression" dxfId="8671" priority="671">
      <formula>$C68=$E$3</formula>
    </cfRule>
    <cfRule type="expression" dxfId="8670" priority="672">
      <formula>$C68&lt;$E$3</formula>
    </cfRule>
    <cfRule type="cellIs" dxfId="8669" priority="673" operator="equal">
      <formula>0</formula>
    </cfRule>
    <cfRule type="expression" dxfId="8668" priority="674">
      <formula>$C68&gt;$E$3</formula>
    </cfRule>
  </conditionalFormatting>
  <conditionalFormatting sqref="K48:K49">
    <cfRule type="expression" dxfId="8667" priority="670">
      <formula>$C68&lt;$E$3</formula>
    </cfRule>
  </conditionalFormatting>
  <conditionalFormatting sqref="K48:K49">
    <cfRule type="expression" dxfId="8666" priority="666">
      <formula>$C68=$E$3</formula>
    </cfRule>
    <cfRule type="expression" dxfId="8665" priority="667">
      <formula>$C68&lt;$E$3</formula>
    </cfRule>
    <cfRule type="cellIs" dxfId="8664" priority="668" operator="equal">
      <formula>0</formula>
    </cfRule>
    <cfRule type="expression" dxfId="8663" priority="669">
      <formula>$C68&gt;$E$3</formula>
    </cfRule>
  </conditionalFormatting>
  <conditionalFormatting sqref="K48:K49">
    <cfRule type="expression" dxfId="8662" priority="665">
      <formula>$C68&lt;$E$3</formula>
    </cfRule>
  </conditionalFormatting>
  <conditionalFormatting sqref="K48:K49">
    <cfRule type="expression" dxfId="8661" priority="661">
      <formula>$C68=$E$3</formula>
    </cfRule>
    <cfRule type="expression" dxfId="8660" priority="662">
      <formula>$C68&lt;$E$3</formula>
    </cfRule>
    <cfRule type="cellIs" dxfId="8659" priority="663" operator="equal">
      <formula>0</formula>
    </cfRule>
    <cfRule type="expression" dxfId="8658" priority="664">
      <formula>$C68&gt;$E$3</formula>
    </cfRule>
  </conditionalFormatting>
  <conditionalFormatting sqref="K48:K49">
    <cfRule type="expression" dxfId="8657" priority="660">
      <formula>$E68=""</formula>
    </cfRule>
  </conditionalFormatting>
  <conditionalFormatting sqref="K48:K49">
    <cfRule type="expression" dxfId="8656" priority="659">
      <formula>$C68&lt;$E$3</formula>
    </cfRule>
  </conditionalFormatting>
  <conditionalFormatting sqref="K48:K49">
    <cfRule type="expression" dxfId="8655" priority="658">
      <formula>$E68=""</formula>
    </cfRule>
  </conditionalFormatting>
  <conditionalFormatting sqref="K48:K49">
    <cfRule type="expression" dxfId="8654" priority="657">
      <formula>$E68=""</formula>
    </cfRule>
  </conditionalFormatting>
  <conditionalFormatting sqref="K48:K49">
    <cfRule type="expression" dxfId="8653" priority="656">
      <formula>$C68&lt;$E$3</formula>
    </cfRule>
  </conditionalFormatting>
  <conditionalFormatting sqref="K48:K49">
    <cfRule type="expression" dxfId="8652" priority="655">
      <formula>$E68=""</formula>
    </cfRule>
  </conditionalFormatting>
  <conditionalFormatting sqref="K48:K49">
    <cfRule type="expression" dxfId="8651" priority="654">
      <formula>$C68&lt;$E$3</formula>
    </cfRule>
  </conditionalFormatting>
  <conditionalFormatting sqref="K48:K49">
    <cfRule type="expression" dxfId="8650" priority="653">
      <formula>$E68=""</formula>
    </cfRule>
  </conditionalFormatting>
  <conditionalFormatting sqref="K48:K49">
    <cfRule type="expression" dxfId="8649" priority="652">
      <formula>$C68&lt;$E$3</formula>
    </cfRule>
  </conditionalFormatting>
  <conditionalFormatting sqref="K48:K49">
    <cfRule type="expression" dxfId="8648" priority="651">
      <formula>$E68=""</formula>
    </cfRule>
  </conditionalFormatting>
  <conditionalFormatting sqref="K5:K11">
    <cfRule type="expression" dxfId="8647" priority="649">
      <formula>$C5&lt;$E$3</formula>
    </cfRule>
  </conditionalFormatting>
  <conditionalFormatting sqref="K5:K11">
    <cfRule type="expression" dxfId="8646" priority="646">
      <formula>$C5=$E$3</formula>
    </cfRule>
    <cfRule type="expression" dxfId="8645" priority="647">
      <formula>$C5&lt;$E$3</formula>
    </cfRule>
    <cfRule type="cellIs" dxfId="8644" priority="648" operator="equal">
      <formula>0</formula>
    </cfRule>
    <cfRule type="expression" dxfId="8643" priority="650">
      <formula>$C5&gt;$E$3</formula>
    </cfRule>
  </conditionalFormatting>
  <conditionalFormatting sqref="K5:K11">
    <cfRule type="expression" dxfId="8642" priority="645">
      <formula>$E5=""</formula>
    </cfRule>
  </conditionalFormatting>
  <conditionalFormatting sqref="K5:K11">
    <cfRule type="expression" dxfId="8641" priority="644">
      <formula>$E5=""</formula>
    </cfRule>
  </conditionalFormatting>
  <conditionalFormatting sqref="K5:K11">
    <cfRule type="expression" dxfId="8640" priority="643">
      <formula>$E5=""</formula>
    </cfRule>
  </conditionalFormatting>
  <conditionalFormatting sqref="K41:K47">
    <cfRule type="cellIs" dxfId="8639" priority="642" stopIfTrue="1" operator="lessThan">
      <formula>0</formula>
    </cfRule>
  </conditionalFormatting>
  <conditionalFormatting sqref="K41:K47">
    <cfRule type="cellIs" dxfId="8638" priority="641" stopIfTrue="1" operator="lessThan">
      <formula>0</formula>
    </cfRule>
  </conditionalFormatting>
  <conditionalFormatting sqref="K41:K47">
    <cfRule type="cellIs" dxfId="8637" priority="640" stopIfTrue="1" operator="lessThan">
      <formula>0</formula>
    </cfRule>
  </conditionalFormatting>
  <conditionalFormatting sqref="K50:K51">
    <cfRule type="expression" dxfId="8636" priority="638">
      <formula>$C50&lt;$E$3</formula>
    </cfRule>
  </conditionalFormatting>
  <conditionalFormatting sqref="K50:K51">
    <cfRule type="expression" dxfId="8635" priority="635">
      <formula>$C50=$E$3</formula>
    </cfRule>
    <cfRule type="expression" dxfId="8634" priority="636">
      <formula>$C50&lt;$E$3</formula>
    </cfRule>
    <cfRule type="cellIs" dxfId="8633" priority="637" operator="equal">
      <formula>0</formula>
    </cfRule>
    <cfRule type="expression" dxfId="8632" priority="639">
      <formula>$C50&gt;$E$3</formula>
    </cfRule>
  </conditionalFormatting>
  <conditionalFormatting sqref="K50:K51">
    <cfRule type="expression" dxfId="8631" priority="634">
      <formula>$E50=""</formula>
    </cfRule>
  </conditionalFormatting>
  <conditionalFormatting sqref="K50:K51">
    <cfRule type="expression" dxfId="8630" priority="633">
      <formula>$E50=""</formula>
    </cfRule>
  </conditionalFormatting>
  <conditionalFormatting sqref="K50:K51">
    <cfRule type="expression" dxfId="8629" priority="632">
      <formula>$E50=""</formula>
    </cfRule>
  </conditionalFormatting>
  <conditionalFormatting sqref="H33:H37">
    <cfRule type="cellIs" dxfId="8628" priority="626" stopIfTrue="1" operator="lessThan">
      <formula>0</formula>
    </cfRule>
  </conditionalFormatting>
  <conditionalFormatting sqref="H33:H37">
    <cfRule type="expression" dxfId="8627" priority="630">
      <formula>$C33&lt;$E$3</formula>
    </cfRule>
  </conditionalFormatting>
  <conditionalFormatting sqref="H33:H37">
    <cfRule type="expression" dxfId="8626" priority="627">
      <formula>$C33=$E$3</formula>
    </cfRule>
    <cfRule type="expression" dxfId="8625" priority="628">
      <formula>$C33&lt;$E$3</formula>
    </cfRule>
    <cfRule type="cellIs" dxfId="8624" priority="629" operator="equal">
      <formula>0</formula>
    </cfRule>
    <cfRule type="expression" dxfId="8623" priority="631">
      <formula>$C33&gt;$E$3</formula>
    </cfRule>
  </conditionalFormatting>
  <conditionalFormatting sqref="H33:H37">
    <cfRule type="expression" dxfId="8622" priority="625">
      <formula>$C33&lt;$E$3</formula>
    </cfRule>
  </conditionalFormatting>
  <conditionalFormatting sqref="H33:H37">
    <cfRule type="expression" dxfId="8621" priority="621">
      <formula>$C33=$E$3</formula>
    </cfRule>
    <cfRule type="expression" dxfId="8620" priority="622">
      <formula>$C33&lt;$E$3</formula>
    </cfRule>
    <cfRule type="cellIs" dxfId="8619" priority="623" operator="equal">
      <formula>0</formula>
    </cfRule>
    <cfRule type="expression" dxfId="8618" priority="624">
      <formula>$C33&gt;$E$3</formula>
    </cfRule>
  </conditionalFormatting>
  <conditionalFormatting sqref="H33:H37">
    <cfRule type="expression" dxfId="8617" priority="620">
      <formula>$E33=""</formula>
    </cfRule>
  </conditionalFormatting>
  <conditionalFormatting sqref="H36">
    <cfRule type="expression" dxfId="8616" priority="619">
      <formula>$E36=""</formula>
    </cfRule>
  </conditionalFormatting>
  <conditionalFormatting sqref="H33:H37">
    <cfRule type="expression" dxfId="8615" priority="618">
      <formula>$C33&lt;$E$3</formula>
    </cfRule>
  </conditionalFormatting>
  <conditionalFormatting sqref="H33:H37">
    <cfRule type="expression" dxfId="8614" priority="614">
      <formula>$C33=$E$3</formula>
    </cfRule>
    <cfRule type="expression" dxfId="8613" priority="615">
      <formula>$C33&lt;$E$3</formula>
    </cfRule>
    <cfRule type="cellIs" dxfId="8612" priority="616" operator="equal">
      <formula>0</formula>
    </cfRule>
    <cfRule type="expression" dxfId="8611" priority="617">
      <formula>$C33&gt;$E$3</formula>
    </cfRule>
  </conditionalFormatting>
  <conditionalFormatting sqref="H33:H37">
    <cfRule type="expression" dxfId="8610" priority="613">
      <formula>$C33&lt;$E$3</formula>
    </cfRule>
  </conditionalFormatting>
  <conditionalFormatting sqref="H33:H37">
    <cfRule type="expression" dxfId="8609" priority="609">
      <formula>$C33=$E$3</formula>
    </cfRule>
    <cfRule type="expression" dxfId="8608" priority="610">
      <formula>$C33&lt;$E$3</formula>
    </cfRule>
    <cfRule type="cellIs" dxfId="8607" priority="611" operator="equal">
      <formula>0</formula>
    </cfRule>
    <cfRule type="expression" dxfId="8606" priority="612">
      <formula>$C33&gt;$E$3</formula>
    </cfRule>
  </conditionalFormatting>
  <conditionalFormatting sqref="H33:H37">
    <cfRule type="expression" dxfId="8605" priority="608">
      <formula>$E33=""</formula>
    </cfRule>
  </conditionalFormatting>
  <conditionalFormatting sqref="H33:H37">
    <cfRule type="expression" dxfId="8604" priority="607">
      <formula>$C33&lt;$E$3</formula>
    </cfRule>
  </conditionalFormatting>
  <conditionalFormatting sqref="H33:H37">
    <cfRule type="expression" dxfId="8603" priority="606">
      <formula>$E33=""</formula>
    </cfRule>
  </conditionalFormatting>
  <conditionalFormatting sqref="H33:H37">
    <cfRule type="expression" dxfId="8602" priority="605">
      <formula>$E33=""</formula>
    </cfRule>
  </conditionalFormatting>
  <conditionalFormatting sqref="H33:H37">
    <cfRule type="expression" dxfId="8601" priority="604">
      <formula>$C33&lt;$E$3</formula>
    </cfRule>
  </conditionalFormatting>
  <conditionalFormatting sqref="H33:H37">
    <cfRule type="expression" dxfId="8600" priority="603">
      <formula>$E33=""</formula>
    </cfRule>
  </conditionalFormatting>
  <conditionalFormatting sqref="H33:H37">
    <cfRule type="expression" dxfId="8599" priority="602">
      <formula>$C33&lt;$E$3</formula>
    </cfRule>
  </conditionalFormatting>
  <conditionalFormatting sqref="H33:H37">
    <cfRule type="expression" dxfId="8598" priority="601">
      <formula>$E33=""</formula>
    </cfRule>
  </conditionalFormatting>
  <conditionalFormatting sqref="H33:H37">
    <cfRule type="expression" dxfId="8597" priority="600">
      <formula>$C33&lt;$E$3</formula>
    </cfRule>
  </conditionalFormatting>
  <conditionalFormatting sqref="H33:H37">
    <cfRule type="expression" dxfId="8596" priority="599">
      <formula>$E33=""</formula>
    </cfRule>
  </conditionalFormatting>
  <conditionalFormatting sqref="J39:N40">
    <cfRule type="expression" dxfId="8595" priority="598">
      <formula>$L$40=0</formula>
    </cfRule>
  </conditionalFormatting>
  <conditionalFormatting sqref="K19">
    <cfRule type="expression" dxfId="8594" priority="597">
      <formula>$C19&lt;$E$3</formula>
    </cfRule>
  </conditionalFormatting>
  <conditionalFormatting sqref="K19">
    <cfRule type="expression" dxfId="8593" priority="593">
      <formula>$C19=$E$3</formula>
    </cfRule>
    <cfRule type="expression" dxfId="8592" priority="594">
      <formula>$C19&lt;$E$3</formula>
    </cfRule>
    <cfRule type="cellIs" dxfId="8591" priority="595" operator="equal">
      <formula>0</formula>
    </cfRule>
    <cfRule type="expression" dxfId="8590" priority="596">
      <formula>$C19&gt;$E$3</formula>
    </cfRule>
  </conditionalFormatting>
  <conditionalFormatting sqref="K19">
    <cfRule type="expression" dxfId="8589" priority="592">
      <formula>$C19&lt;$E$3</formula>
    </cfRule>
  </conditionalFormatting>
  <conditionalFormatting sqref="K19">
    <cfRule type="expression" dxfId="8588" priority="588">
      <formula>$C19=$E$3</formula>
    </cfRule>
    <cfRule type="expression" dxfId="8587" priority="589">
      <formula>$C19&lt;$E$3</formula>
    </cfRule>
    <cfRule type="cellIs" dxfId="8586" priority="590" operator="equal">
      <formula>0</formula>
    </cfRule>
    <cfRule type="expression" dxfId="8585" priority="591">
      <formula>$C19&gt;$E$3</formula>
    </cfRule>
  </conditionalFormatting>
  <conditionalFormatting sqref="K19">
    <cfRule type="expression" dxfId="8584" priority="587">
      <formula>$C19&lt;$E$3</formula>
    </cfRule>
  </conditionalFormatting>
  <conditionalFormatting sqref="K19">
    <cfRule type="expression" dxfId="8583" priority="583">
      <formula>$C19=$E$3</formula>
    </cfRule>
    <cfRule type="expression" dxfId="8582" priority="584">
      <formula>$C19&lt;$E$3</formula>
    </cfRule>
    <cfRule type="cellIs" dxfId="8581" priority="585" operator="equal">
      <formula>0</formula>
    </cfRule>
    <cfRule type="expression" dxfId="8580" priority="586">
      <formula>$C19&gt;$E$3</formula>
    </cfRule>
  </conditionalFormatting>
  <conditionalFormatting sqref="K19">
    <cfRule type="expression" dxfId="8579" priority="582">
      <formula>$C19&lt;$E$3</formula>
    </cfRule>
  </conditionalFormatting>
  <conditionalFormatting sqref="K19">
    <cfRule type="expression" dxfId="8578" priority="578">
      <formula>$C19=$E$3</formula>
    </cfRule>
    <cfRule type="expression" dxfId="8577" priority="579">
      <formula>$C19&lt;$E$3</formula>
    </cfRule>
    <cfRule type="cellIs" dxfId="8576" priority="580" operator="equal">
      <formula>0</formula>
    </cfRule>
    <cfRule type="expression" dxfId="8575" priority="581">
      <formula>$C19&gt;$E$3</formula>
    </cfRule>
  </conditionalFormatting>
  <conditionalFormatting sqref="K19">
    <cfRule type="expression" dxfId="8574" priority="577">
      <formula>$E19=""</formula>
    </cfRule>
  </conditionalFormatting>
  <conditionalFormatting sqref="K19">
    <cfRule type="expression" dxfId="8573" priority="576">
      <formula>$C19&lt;$E$3</formula>
    </cfRule>
  </conditionalFormatting>
  <conditionalFormatting sqref="K19">
    <cfRule type="expression" dxfId="8572" priority="575">
      <formula>$E19=""</formula>
    </cfRule>
  </conditionalFormatting>
  <conditionalFormatting sqref="K19">
    <cfRule type="expression" dxfId="8571" priority="574">
      <formula>$E19=""</formula>
    </cfRule>
  </conditionalFormatting>
  <conditionalFormatting sqref="K19">
    <cfRule type="expression" dxfId="8570" priority="573">
      <formula>$C19&lt;$E$3</formula>
    </cfRule>
  </conditionalFormatting>
  <conditionalFormatting sqref="K19">
    <cfRule type="expression" dxfId="8569" priority="572">
      <formula>$E19=""</formula>
    </cfRule>
  </conditionalFormatting>
  <conditionalFormatting sqref="K19">
    <cfRule type="expression" dxfId="8568" priority="571">
      <formula>$C19&lt;$E$3</formula>
    </cfRule>
  </conditionalFormatting>
  <conditionalFormatting sqref="K19">
    <cfRule type="expression" dxfId="8567" priority="570">
      <formula>$E19=""</formula>
    </cfRule>
  </conditionalFormatting>
  <conditionalFormatting sqref="K19">
    <cfRule type="expression" dxfId="8566" priority="569">
      <formula>$C19&lt;$E$3</formula>
    </cfRule>
  </conditionalFormatting>
  <conditionalFormatting sqref="K19">
    <cfRule type="expression" dxfId="8565" priority="568">
      <formula>$E19=""</formula>
    </cfRule>
  </conditionalFormatting>
  <conditionalFormatting sqref="K19">
    <cfRule type="expression" dxfId="8564" priority="567">
      <formula>$C19&lt;$E$3</formula>
    </cfRule>
  </conditionalFormatting>
  <conditionalFormatting sqref="K19">
    <cfRule type="expression" dxfId="8563" priority="563">
      <formula>$C19=$E$3</formula>
    </cfRule>
    <cfRule type="expression" dxfId="8562" priority="564">
      <formula>$C19&lt;$E$3</formula>
    </cfRule>
    <cfRule type="cellIs" dxfId="8561" priority="565" operator="equal">
      <formula>0</formula>
    </cfRule>
    <cfRule type="expression" dxfId="8560" priority="566">
      <formula>$C19&gt;$E$3</formula>
    </cfRule>
  </conditionalFormatting>
  <conditionalFormatting sqref="K19">
    <cfRule type="expression" dxfId="8559" priority="562">
      <formula>$C19&lt;$E$3</formula>
    </cfRule>
  </conditionalFormatting>
  <conditionalFormatting sqref="K19">
    <cfRule type="expression" dxfId="8558" priority="558">
      <formula>$C19=$E$3</formula>
    </cfRule>
    <cfRule type="expression" dxfId="8557" priority="559">
      <formula>$C19&lt;$E$3</formula>
    </cfRule>
    <cfRule type="cellIs" dxfId="8556" priority="560" operator="equal">
      <formula>0</formula>
    </cfRule>
    <cfRule type="expression" dxfId="8555" priority="561">
      <formula>$C19&gt;$E$3</formula>
    </cfRule>
  </conditionalFormatting>
  <conditionalFormatting sqref="K19">
    <cfRule type="expression" dxfId="8554" priority="557">
      <formula>$C19&lt;$E$3</formula>
    </cfRule>
  </conditionalFormatting>
  <conditionalFormatting sqref="K19">
    <cfRule type="expression" dxfId="8553" priority="553">
      <formula>$C19=$E$3</formula>
    </cfRule>
    <cfRule type="expression" dxfId="8552" priority="554">
      <formula>$C19&lt;$E$3</formula>
    </cfRule>
    <cfRule type="cellIs" dxfId="8551" priority="555" operator="equal">
      <formula>0</formula>
    </cfRule>
    <cfRule type="expression" dxfId="8550" priority="556">
      <formula>$C19&gt;$E$3</formula>
    </cfRule>
  </conditionalFormatting>
  <conditionalFormatting sqref="K19">
    <cfRule type="expression" dxfId="8549" priority="552">
      <formula>$C19&lt;$E$3</formula>
    </cfRule>
  </conditionalFormatting>
  <conditionalFormatting sqref="K19">
    <cfRule type="expression" dxfId="8548" priority="548">
      <formula>$C19=$E$3</formula>
    </cfRule>
    <cfRule type="expression" dxfId="8547" priority="549">
      <formula>$C19&lt;$E$3</formula>
    </cfRule>
    <cfRule type="cellIs" dxfId="8546" priority="550" operator="equal">
      <formula>0</formula>
    </cfRule>
    <cfRule type="expression" dxfId="8545" priority="551">
      <formula>$C19&gt;$E$3</formula>
    </cfRule>
  </conditionalFormatting>
  <conditionalFormatting sqref="K19">
    <cfRule type="expression" dxfId="8544" priority="547">
      <formula>$E19=""</formula>
    </cfRule>
  </conditionalFormatting>
  <conditionalFormatting sqref="K19">
    <cfRule type="expression" dxfId="8543" priority="546">
      <formula>$C19&lt;$E$3</formula>
    </cfRule>
  </conditionalFormatting>
  <conditionalFormatting sqref="K19">
    <cfRule type="expression" dxfId="8542" priority="545">
      <formula>$E19=""</formula>
    </cfRule>
  </conditionalFormatting>
  <conditionalFormatting sqref="K19">
    <cfRule type="expression" dxfId="8541" priority="544">
      <formula>$E19=""</formula>
    </cfRule>
  </conditionalFormatting>
  <conditionalFormatting sqref="K19">
    <cfRule type="expression" dxfId="8540" priority="543">
      <formula>$C19&lt;$E$3</formula>
    </cfRule>
  </conditionalFormatting>
  <conditionalFormatting sqref="K19">
    <cfRule type="expression" dxfId="8539" priority="542">
      <formula>$E19=""</formula>
    </cfRule>
  </conditionalFormatting>
  <conditionalFormatting sqref="K19">
    <cfRule type="expression" dxfId="8538" priority="541">
      <formula>$C19&lt;$E$3</formula>
    </cfRule>
  </conditionalFormatting>
  <conditionalFormatting sqref="K19">
    <cfRule type="expression" dxfId="8537" priority="540">
      <formula>$E19=""</formula>
    </cfRule>
  </conditionalFormatting>
  <conditionalFormatting sqref="K19">
    <cfRule type="expression" dxfId="8536" priority="539">
      <formula>$C19&lt;$E$3</formula>
    </cfRule>
  </conditionalFormatting>
  <conditionalFormatting sqref="K19">
    <cfRule type="expression" dxfId="8535" priority="538">
      <formula>$E19=""</formula>
    </cfRule>
  </conditionalFormatting>
  <conditionalFormatting sqref="K14:K18">
    <cfRule type="expression" dxfId="8534" priority="537">
      <formula>$C14&lt;$E$3</formula>
    </cfRule>
  </conditionalFormatting>
  <conditionalFormatting sqref="K14:K18">
    <cfRule type="expression" dxfId="8533" priority="533">
      <formula>$C14=$E$3</formula>
    </cfRule>
    <cfRule type="expression" dxfId="8532" priority="534">
      <formula>$C14&lt;$E$3</formula>
    </cfRule>
    <cfRule type="cellIs" dxfId="8531" priority="535" operator="equal">
      <formula>0</formula>
    </cfRule>
    <cfRule type="expression" dxfId="8530" priority="536">
      <formula>$C14&gt;$E$3</formula>
    </cfRule>
  </conditionalFormatting>
  <conditionalFormatting sqref="K14:K18">
    <cfRule type="expression" dxfId="8529" priority="532">
      <formula>$C14&lt;$E$3</formula>
    </cfRule>
  </conditionalFormatting>
  <conditionalFormatting sqref="K14:K18">
    <cfRule type="expression" dxfId="8528" priority="528">
      <formula>$C14=$E$3</formula>
    </cfRule>
    <cfRule type="expression" dxfId="8527" priority="529">
      <formula>$C14&lt;$E$3</formula>
    </cfRule>
    <cfRule type="cellIs" dxfId="8526" priority="530" operator="equal">
      <formula>0</formula>
    </cfRule>
    <cfRule type="expression" dxfId="8525" priority="531">
      <formula>$C14&gt;$E$3</formula>
    </cfRule>
  </conditionalFormatting>
  <conditionalFormatting sqref="K14:K18">
    <cfRule type="expression" dxfId="8524" priority="527">
      <formula>$C14&lt;$E$3</formula>
    </cfRule>
  </conditionalFormatting>
  <conditionalFormatting sqref="K14:K18">
    <cfRule type="expression" dxfId="8523" priority="523">
      <formula>$C14=$E$3</formula>
    </cfRule>
    <cfRule type="expression" dxfId="8522" priority="524">
      <formula>$C14&lt;$E$3</formula>
    </cfRule>
    <cfRule type="cellIs" dxfId="8521" priority="525" operator="equal">
      <formula>0</formula>
    </cfRule>
    <cfRule type="expression" dxfId="8520" priority="526">
      <formula>$C14&gt;$E$3</formula>
    </cfRule>
  </conditionalFormatting>
  <conditionalFormatting sqref="K14:K18">
    <cfRule type="expression" dxfId="8519" priority="522">
      <formula>$C14&lt;$E$3</formula>
    </cfRule>
  </conditionalFormatting>
  <conditionalFormatting sqref="K14:K18">
    <cfRule type="expression" dxfId="8518" priority="518">
      <formula>$C14=$E$3</formula>
    </cfRule>
    <cfRule type="expression" dxfId="8517" priority="519">
      <formula>$C14&lt;$E$3</formula>
    </cfRule>
    <cfRule type="cellIs" dxfId="8516" priority="520" operator="equal">
      <formula>0</formula>
    </cfRule>
    <cfRule type="expression" dxfId="8515" priority="521">
      <formula>$C14&gt;$E$3</formula>
    </cfRule>
  </conditionalFormatting>
  <conditionalFormatting sqref="K14:K18">
    <cfRule type="expression" dxfId="8514" priority="517">
      <formula>$E14=""</formula>
    </cfRule>
  </conditionalFormatting>
  <conditionalFormatting sqref="K14:K18">
    <cfRule type="expression" dxfId="8513" priority="516">
      <formula>$C14&lt;$E$3</formula>
    </cfRule>
  </conditionalFormatting>
  <conditionalFormatting sqref="K14:K18">
    <cfRule type="expression" dxfId="8512" priority="515">
      <formula>$E14=""</formula>
    </cfRule>
  </conditionalFormatting>
  <conditionalFormatting sqref="K14:K18">
    <cfRule type="expression" dxfId="8511" priority="514">
      <formula>$E14=""</formula>
    </cfRule>
  </conditionalFormatting>
  <conditionalFormatting sqref="K14:K18">
    <cfRule type="expression" dxfId="8510" priority="513">
      <formula>$C14&lt;$E$3</formula>
    </cfRule>
  </conditionalFormatting>
  <conditionalFormatting sqref="K14:K18">
    <cfRule type="expression" dxfId="8509" priority="512">
      <formula>$E14=""</formula>
    </cfRule>
  </conditionalFormatting>
  <conditionalFormatting sqref="K14:K18">
    <cfRule type="expression" dxfId="8508" priority="511">
      <formula>$C14&lt;$E$3</formula>
    </cfRule>
  </conditionalFormatting>
  <conditionalFormatting sqref="K14:K18">
    <cfRule type="expression" dxfId="8507" priority="510">
      <formula>$E14=""</formula>
    </cfRule>
  </conditionalFormatting>
  <conditionalFormatting sqref="K14:K18">
    <cfRule type="expression" dxfId="8506" priority="509">
      <formula>$C14&lt;$E$3</formula>
    </cfRule>
  </conditionalFormatting>
  <conditionalFormatting sqref="K14:K18">
    <cfRule type="expression" dxfId="8505" priority="508">
      <formula>$E14=""</formula>
    </cfRule>
  </conditionalFormatting>
  <conditionalFormatting sqref="K14:K18">
    <cfRule type="expression" dxfId="8504" priority="507">
      <formula>$C14&lt;$E$3</formula>
    </cfRule>
  </conditionalFormatting>
  <conditionalFormatting sqref="K14:K18">
    <cfRule type="expression" dxfId="8503" priority="503">
      <formula>$C14=$E$3</formula>
    </cfRule>
    <cfRule type="expression" dxfId="8502" priority="504">
      <formula>$C14&lt;$E$3</formula>
    </cfRule>
    <cfRule type="cellIs" dxfId="8501" priority="505" operator="equal">
      <formula>0</formula>
    </cfRule>
    <cfRule type="expression" dxfId="8500" priority="506">
      <formula>$C14&gt;$E$3</formula>
    </cfRule>
  </conditionalFormatting>
  <conditionalFormatting sqref="K14:K18">
    <cfRule type="expression" dxfId="8499" priority="502">
      <formula>$C14&lt;$E$3</formula>
    </cfRule>
  </conditionalFormatting>
  <conditionalFormatting sqref="K14:K18">
    <cfRule type="expression" dxfId="8498" priority="498">
      <formula>$C14=$E$3</formula>
    </cfRule>
    <cfRule type="expression" dxfId="8497" priority="499">
      <formula>$C14&lt;$E$3</formula>
    </cfRule>
    <cfRule type="cellIs" dxfId="8496" priority="500" operator="equal">
      <formula>0</formula>
    </cfRule>
    <cfRule type="expression" dxfId="8495" priority="501">
      <formula>$C14&gt;$E$3</formula>
    </cfRule>
  </conditionalFormatting>
  <conditionalFormatting sqref="K14:K18">
    <cfRule type="expression" dxfId="8494" priority="497">
      <formula>$C14&lt;$E$3</formula>
    </cfRule>
  </conditionalFormatting>
  <conditionalFormatting sqref="K14:K18">
    <cfRule type="expression" dxfId="8493" priority="493">
      <formula>$C14=$E$3</formula>
    </cfRule>
    <cfRule type="expression" dxfId="8492" priority="494">
      <formula>$C14&lt;$E$3</formula>
    </cfRule>
    <cfRule type="cellIs" dxfId="8491" priority="495" operator="equal">
      <formula>0</formula>
    </cfRule>
    <cfRule type="expression" dxfId="8490" priority="496">
      <formula>$C14&gt;$E$3</formula>
    </cfRule>
  </conditionalFormatting>
  <conditionalFormatting sqref="K14:K18">
    <cfRule type="expression" dxfId="8489" priority="492">
      <formula>$C14&lt;$E$3</formula>
    </cfRule>
  </conditionalFormatting>
  <conditionalFormatting sqref="K14:K18">
    <cfRule type="expression" dxfId="8488" priority="488">
      <formula>$C14=$E$3</formula>
    </cfRule>
    <cfRule type="expression" dxfId="8487" priority="489">
      <formula>$C14&lt;$E$3</formula>
    </cfRule>
    <cfRule type="cellIs" dxfId="8486" priority="490" operator="equal">
      <formula>0</formula>
    </cfRule>
    <cfRule type="expression" dxfId="8485" priority="491">
      <formula>$C14&gt;$E$3</formula>
    </cfRule>
  </conditionalFormatting>
  <conditionalFormatting sqref="K14:K18">
    <cfRule type="expression" dxfId="8484" priority="487">
      <formula>$E14=""</formula>
    </cfRule>
  </conditionalFormatting>
  <conditionalFormatting sqref="K14:K18">
    <cfRule type="expression" dxfId="8483" priority="486">
      <formula>$C14&lt;$E$3</formula>
    </cfRule>
  </conditionalFormatting>
  <conditionalFormatting sqref="K14:K18">
    <cfRule type="expression" dxfId="8482" priority="485">
      <formula>$E14=""</formula>
    </cfRule>
  </conditionalFormatting>
  <conditionalFormatting sqref="K14:K18">
    <cfRule type="expression" dxfId="8481" priority="484">
      <formula>$E14=""</formula>
    </cfRule>
  </conditionalFormatting>
  <conditionalFormatting sqref="K14:K18">
    <cfRule type="expression" dxfId="8480" priority="483">
      <formula>$C14&lt;$E$3</formula>
    </cfRule>
  </conditionalFormatting>
  <conditionalFormatting sqref="K14:K18">
    <cfRule type="expression" dxfId="8479" priority="482">
      <formula>$E14=""</formula>
    </cfRule>
  </conditionalFormatting>
  <conditionalFormatting sqref="K14:K18">
    <cfRule type="expression" dxfId="8478" priority="481">
      <formula>$C14&lt;$E$3</formula>
    </cfRule>
  </conditionalFormatting>
  <conditionalFormatting sqref="K14:K18">
    <cfRule type="expression" dxfId="8477" priority="480">
      <formula>$E14=""</formula>
    </cfRule>
  </conditionalFormatting>
  <conditionalFormatting sqref="K14:K18">
    <cfRule type="expression" dxfId="8476" priority="479">
      <formula>$C14&lt;$E$3</formula>
    </cfRule>
  </conditionalFormatting>
  <conditionalFormatting sqref="K14:K18">
    <cfRule type="expression" dxfId="8475" priority="478">
      <formula>$E14=""</formula>
    </cfRule>
  </conditionalFormatting>
  <conditionalFormatting sqref="K14:K20">
    <cfRule type="expression" dxfId="8474" priority="476">
      <formula>$C14&lt;$E$3</formula>
    </cfRule>
  </conditionalFormatting>
  <conditionalFormatting sqref="K14:K20">
    <cfRule type="expression" dxfId="8473" priority="473">
      <formula>$C14=$E$3</formula>
    </cfRule>
    <cfRule type="expression" dxfId="8472" priority="474">
      <formula>$C14&lt;$E$3</formula>
    </cfRule>
    <cfRule type="cellIs" dxfId="8471" priority="475" operator="equal">
      <formula>0</formula>
    </cfRule>
    <cfRule type="expression" dxfId="8470" priority="477">
      <formula>$C14&gt;$E$3</formula>
    </cfRule>
  </conditionalFormatting>
  <conditionalFormatting sqref="K14:K20">
    <cfRule type="expression" dxfId="8469" priority="472">
      <formula>$E14=""</formula>
    </cfRule>
  </conditionalFormatting>
  <conditionalFormatting sqref="K14:K20">
    <cfRule type="expression" dxfId="8468" priority="471">
      <formula>$E14=""</formula>
    </cfRule>
  </conditionalFormatting>
  <conditionalFormatting sqref="K14:K20">
    <cfRule type="expression" dxfId="8467" priority="470">
      <formula>$E14=""</formula>
    </cfRule>
  </conditionalFormatting>
  <conditionalFormatting sqref="K28">
    <cfRule type="expression" dxfId="8466" priority="469">
      <formula>$C28&lt;$E$3</formula>
    </cfRule>
  </conditionalFormatting>
  <conditionalFormatting sqref="K28">
    <cfRule type="expression" dxfId="8465" priority="465">
      <formula>$C28=$E$3</formula>
    </cfRule>
    <cfRule type="expression" dxfId="8464" priority="466">
      <formula>$C28&lt;$E$3</formula>
    </cfRule>
    <cfRule type="cellIs" dxfId="8463" priority="467" operator="equal">
      <formula>0</formula>
    </cfRule>
    <cfRule type="expression" dxfId="8462" priority="468">
      <formula>$C28&gt;$E$3</formula>
    </cfRule>
  </conditionalFormatting>
  <conditionalFormatting sqref="K28">
    <cfRule type="expression" dxfId="8461" priority="464">
      <formula>$C28&lt;$E$3</formula>
    </cfRule>
  </conditionalFormatting>
  <conditionalFormatting sqref="K28">
    <cfRule type="expression" dxfId="8460" priority="460">
      <formula>$C28=$E$3</formula>
    </cfRule>
    <cfRule type="expression" dxfId="8459" priority="461">
      <formula>$C28&lt;$E$3</formula>
    </cfRule>
    <cfRule type="cellIs" dxfId="8458" priority="462" operator="equal">
      <formula>0</formula>
    </cfRule>
    <cfRule type="expression" dxfId="8457" priority="463">
      <formula>$C28&gt;$E$3</formula>
    </cfRule>
  </conditionalFormatting>
  <conditionalFormatting sqref="K28">
    <cfRule type="expression" dxfId="8456" priority="459">
      <formula>$C28&lt;$E$3</formula>
    </cfRule>
  </conditionalFormatting>
  <conditionalFormatting sqref="K28">
    <cfRule type="expression" dxfId="8455" priority="455">
      <formula>$C28=$E$3</formula>
    </cfRule>
    <cfRule type="expression" dxfId="8454" priority="456">
      <formula>$C28&lt;$E$3</formula>
    </cfRule>
    <cfRule type="cellIs" dxfId="8453" priority="457" operator="equal">
      <formula>0</formula>
    </cfRule>
    <cfRule type="expression" dxfId="8452" priority="458">
      <formula>$C28&gt;$E$3</formula>
    </cfRule>
  </conditionalFormatting>
  <conditionalFormatting sqref="K28">
    <cfRule type="expression" dxfId="8451" priority="454">
      <formula>$C28&lt;$E$3</formula>
    </cfRule>
  </conditionalFormatting>
  <conditionalFormatting sqref="K28">
    <cfRule type="expression" dxfId="8450" priority="450">
      <formula>$C28=$E$3</formula>
    </cfRule>
    <cfRule type="expression" dxfId="8449" priority="451">
      <formula>$C28&lt;$E$3</formula>
    </cfRule>
    <cfRule type="cellIs" dxfId="8448" priority="452" operator="equal">
      <formula>0</formula>
    </cfRule>
    <cfRule type="expression" dxfId="8447" priority="453">
      <formula>$C28&gt;$E$3</formula>
    </cfRule>
  </conditionalFormatting>
  <conditionalFormatting sqref="K28">
    <cfRule type="expression" dxfId="8446" priority="449">
      <formula>$E28=""</formula>
    </cfRule>
  </conditionalFormatting>
  <conditionalFormatting sqref="K28">
    <cfRule type="expression" dxfId="8445" priority="448">
      <formula>$C28&lt;$E$3</formula>
    </cfRule>
  </conditionalFormatting>
  <conditionalFormatting sqref="K28">
    <cfRule type="expression" dxfId="8444" priority="447">
      <formula>$E28=""</formula>
    </cfRule>
  </conditionalFormatting>
  <conditionalFormatting sqref="K28">
    <cfRule type="expression" dxfId="8443" priority="446">
      <formula>$E28=""</formula>
    </cfRule>
  </conditionalFormatting>
  <conditionalFormatting sqref="K28">
    <cfRule type="expression" dxfId="8442" priority="445">
      <formula>$C28&lt;$E$3</formula>
    </cfRule>
  </conditionalFormatting>
  <conditionalFormatting sqref="K28">
    <cfRule type="expression" dxfId="8441" priority="444">
      <formula>$E28=""</formula>
    </cfRule>
  </conditionalFormatting>
  <conditionalFormatting sqref="K28">
    <cfRule type="expression" dxfId="8440" priority="443">
      <formula>$C28&lt;$E$3</formula>
    </cfRule>
  </conditionalFormatting>
  <conditionalFormatting sqref="K28">
    <cfRule type="expression" dxfId="8439" priority="442">
      <formula>$E28=""</formula>
    </cfRule>
  </conditionalFormatting>
  <conditionalFormatting sqref="K28">
    <cfRule type="expression" dxfId="8438" priority="441">
      <formula>$C28&lt;$E$3</formula>
    </cfRule>
  </conditionalFormatting>
  <conditionalFormatting sqref="K28">
    <cfRule type="expression" dxfId="8437" priority="440">
      <formula>$E28=""</formula>
    </cfRule>
  </conditionalFormatting>
  <conditionalFormatting sqref="K28">
    <cfRule type="expression" dxfId="8436" priority="439">
      <formula>$C28&lt;$E$3</formula>
    </cfRule>
  </conditionalFormatting>
  <conditionalFormatting sqref="K28">
    <cfRule type="expression" dxfId="8435" priority="435">
      <formula>$C28=$E$3</formula>
    </cfRule>
    <cfRule type="expression" dxfId="8434" priority="436">
      <formula>$C28&lt;$E$3</formula>
    </cfRule>
    <cfRule type="cellIs" dxfId="8433" priority="437" operator="equal">
      <formula>0</formula>
    </cfRule>
    <cfRule type="expression" dxfId="8432" priority="438">
      <formula>$C28&gt;$E$3</formula>
    </cfRule>
  </conditionalFormatting>
  <conditionalFormatting sqref="K28">
    <cfRule type="expression" dxfId="8431" priority="434">
      <formula>$C28&lt;$E$3</formula>
    </cfRule>
  </conditionalFormatting>
  <conditionalFormatting sqref="K28">
    <cfRule type="expression" dxfId="8430" priority="430">
      <formula>$C28=$E$3</formula>
    </cfRule>
    <cfRule type="expression" dxfId="8429" priority="431">
      <formula>$C28&lt;$E$3</formula>
    </cfRule>
    <cfRule type="cellIs" dxfId="8428" priority="432" operator="equal">
      <formula>0</formula>
    </cfRule>
    <cfRule type="expression" dxfId="8427" priority="433">
      <formula>$C28&gt;$E$3</formula>
    </cfRule>
  </conditionalFormatting>
  <conditionalFormatting sqref="K28">
    <cfRule type="expression" dxfId="8426" priority="429">
      <formula>$C28&lt;$E$3</formula>
    </cfRule>
  </conditionalFormatting>
  <conditionalFormatting sqref="K28">
    <cfRule type="expression" dxfId="8425" priority="425">
      <formula>$C28=$E$3</formula>
    </cfRule>
    <cfRule type="expression" dxfId="8424" priority="426">
      <formula>$C28&lt;$E$3</formula>
    </cfRule>
    <cfRule type="cellIs" dxfId="8423" priority="427" operator="equal">
      <formula>0</formula>
    </cfRule>
    <cfRule type="expression" dxfId="8422" priority="428">
      <formula>$C28&gt;$E$3</formula>
    </cfRule>
  </conditionalFormatting>
  <conditionalFormatting sqref="K28">
    <cfRule type="expression" dxfId="8421" priority="424">
      <formula>$C28&lt;$E$3</formula>
    </cfRule>
  </conditionalFormatting>
  <conditionalFormatting sqref="K28">
    <cfRule type="expression" dxfId="8420" priority="420">
      <formula>$C28=$E$3</formula>
    </cfRule>
    <cfRule type="expression" dxfId="8419" priority="421">
      <formula>$C28&lt;$E$3</formula>
    </cfRule>
    <cfRule type="cellIs" dxfId="8418" priority="422" operator="equal">
      <formula>0</formula>
    </cfRule>
    <cfRule type="expression" dxfId="8417" priority="423">
      <formula>$C28&gt;$E$3</formula>
    </cfRule>
  </conditionalFormatting>
  <conditionalFormatting sqref="K28">
    <cfRule type="expression" dxfId="8416" priority="419">
      <formula>$E28=""</formula>
    </cfRule>
  </conditionalFormatting>
  <conditionalFormatting sqref="K28">
    <cfRule type="expression" dxfId="8415" priority="418">
      <formula>$C28&lt;$E$3</formula>
    </cfRule>
  </conditionalFormatting>
  <conditionalFormatting sqref="K28">
    <cfRule type="expression" dxfId="8414" priority="417">
      <formula>$E28=""</formula>
    </cfRule>
  </conditionalFormatting>
  <conditionalFormatting sqref="K28">
    <cfRule type="expression" dxfId="8413" priority="416">
      <formula>$E28=""</formula>
    </cfRule>
  </conditionalFormatting>
  <conditionalFormatting sqref="K28">
    <cfRule type="expression" dxfId="8412" priority="415">
      <formula>$C28&lt;$E$3</formula>
    </cfRule>
  </conditionalFormatting>
  <conditionalFormatting sqref="K28">
    <cfRule type="expression" dxfId="8411" priority="414">
      <formula>$E28=""</formula>
    </cfRule>
  </conditionalFormatting>
  <conditionalFormatting sqref="K28">
    <cfRule type="expression" dxfId="8410" priority="413">
      <formula>$C28&lt;$E$3</formula>
    </cfRule>
  </conditionalFormatting>
  <conditionalFormatting sqref="K28">
    <cfRule type="expression" dxfId="8409" priority="412">
      <formula>$E28=""</formula>
    </cfRule>
  </conditionalFormatting>
  <conditionalFormatting sqref="K28">
    <cfRule type="expression" dxfId="8408" priority="411">
      <formula>$C28&lt;$E$3</formula>
    </cfRule>
  </conditionalFormatting>
  <conditionalFormatting sqref="K28">
    <cfRule type="expression" dxfId="8407" priority="410">
      <formula>$E28=""</formula>
    </cfRule>
  </conditionalFormatting>
  <conditionalFormatting sqref="K23:K27">
    <cfRule type="expression" dxfId="8406" priority="409">
      <formula>$C23&lt;$E$3</formula>
    </cfRule>
  </conditionalFormatting>
  <conditionalFormatting sqref="K23:K27">
    <cfRule type="expression" dxfId="8405" priority="405">
      <formula>$C23=$E$3</formula>
    </cfRule>
    <cfRule type="expression" dxfId="8404" priority="406">
      <formula>$C23&lt;$E$3</formula>
    </cfRule>
    <cfRule type="cellIs" dxfId="8403" priority="407" operator="equal">
      <formula>0</formula>
    </cfRule>
    <cfRule type="expression" dxfId="8402" priority="408">
      <formula>$C23&gt;$E$3</formula>
    </cfRule>
  </conditionalFormatting>
  <conditionalFormatting sqref="K23:K27">
    <cfRule type="expression" dxfId="8401" priority="404">
      <formula>$C23&lt;$E$3</formula>
    </cfRule>
  </conditionalFormatting>
  <conditionalFormatting sqref="K23:K27">
    <cfRule type="expression" dxfId="8400" priority="400">
      <formula>$C23=$E$3</formula>
    </cfRule>
    <cfRule type="expression" dxfId="8399" priority="401">
      <formula>$C23&lt;$E$3</formula>
    </cfRule>
    <cfRule type="cellIs" dxfId="8398" priority="402" operator="equal">
      <formula>0</formula>
    </cfRule>
    <cfRule type="expression" dxfId="8397" priority="403">
      <formula>$C23&gt;$E$3</formula>
    </cfRule>
  </conditionalFormatting>
  <conditionalFormatting sqref="K23:K27">
    <cfRule type="expression" dxfId="8396" priority="399">
      <formula>$C23&lt;$E$3</formula>
    </cfRule>
  </conditionalFormatting>
  <conditionalFormatting sqref="K23:K27">
    <cfRule type="expression" dxfId="8395" priority="395">
      <formula>$C23=$E$3</formula>
    </cfRule>
    <cfRule type="expression" dxfId="8394" priority="396">
      <formula>$C23&lt;$E$3</formula>
    </cfRule>
    <cfRule type="cellIs" dxfId="8393" priority="397" operator="equal">
      <formula>0</formula>
    </cfRule>
    <cfRule type="expression" dxfId="8392" priority="398">
      <formula>$C23&gt;$E$3</formula>
    </cfRule>
  </conditionalFormatting>
  <conditionalFormatting sqref="K23:K27">
    <cfRule type="expression" dxfId="8391" priority="394">
      <formula>$C23&lt;$E$3</formula>
    </cfRule>
  </conditionalFormatting>
  <conditionalFormatting sqref="K23:K27">
    <cfRule type="expression" dxfId="8390" priority="390">
      <formula>$C23=$E$3</formula>
    </cfRule>
    <cfRule type="expression" dxfId="8389" priority="391">
      <formula>$C23&lt;$E$3</formula>
    </cfRule>
    <cfRule type="cellIs" dxfId="8388" priority="392" operator="equal">
      <formula>0</formula>
    </cfRule>
    <cfRule type="expression" dxfId="8387" priority="393">
      <formula>$C23&gt;$E$3</formula>
    </cfRule>
  </conditionalFormatting>
  <conditionalFormatting sqref="K23:K27">
    <cfRule type="expression" dxfId="8386" priority="389">
      <formula>$E23=""</formula>
    </cfRule>
  </conditionalFormatting>
  <conditionalFormatting sqref="K23:K27">
    <cfRule type="expression" dxfId="8385" priority="388">
      <formula>$C23&lt;$E$3</formula>
    </cfRule>
  </conditionalFormatting>
  <conditionalFormatting sqref="K23:K27">
    <cfRule type="expression" dxfId="8384" priority="387">
      <formula>$E23=""</formula>
    </cfRule>
  </conditionalFormatting>
  <conditionalFormatting sqref="K23:K27">
    <cfRule type="expression" dxfId="8383" priority="386">
      <formula>$E23=""</formula>
    </cfRule>
  </conditionalFormatting>
  <conditionalFormatting sqref="K23:K27">
    <cfRule type="expression" dxfId="8382" priority="385">
      <formula>$C23&lt;$E$3</formula>
    </cfRule>
  </conditionalFormatting>
  <conditionalFormatting sqref="K23:K27">
    <cfRule type="expression" dxfId="8381" priority="384">
      <formula>$E23=""</formula>
    </cfRule>
  </conditionalFormatting>
  <conditionalFormatting sqref="K23:K27">
    <cfRule type="expression" dxfId="8380" priority="383">
      <formula>$C23&lt;$E$3</formula>
    </cfRule>
  </conditionalFormatting>
  <conditionalFormatting sqref="K23:K27">
    <cfRule type="expression" dxfId="8379" priority="382">
      <formula>$E23=""</formula>
    </cfRule>
  </conditionalFormatting>
  <conditionalFormatting sqref="K23:K27">
    <cfRule type="expression" dxfId="8378" priority="381">
      <formula>$C23&lt;$E$3</formula>
    </cfRule>
  </conditionalFormatting>
  <conditionalFormatting sqref="K23:K27">
    <cfRule type="expression" dxfId="8377" priority="380">
      <formula>$E23=""</formula>
    </cfRule>
  </conditionalFormatting>
  <conditionalFormatting sqref="K23:K27">
    <cfRule type="expression" dxfId="8376" priority="379">
      <formula>$C23&lt;$E$3</formula>
    </cfRule>
  </conditionalFormatting>
  <conditionalFormatting sqref="K23:K27">
    <cfRule type="expression" dxfId="8375" priority="375">
      <formula>$C23=$E$3</formula>
    </cfRule>
    <cfRule type="expression" dxfId="8374" priority="376">
      <formula>$C23&lt;$E$3</formula>
    </cfRule>
    <cfRule type="cellIs" dxfId="8373" priority="377" operator="equal">
      <formula>0</formula>
    </cfRule>
    <cfRule type="expression" dxfId="8372" priority="378">
      <formula>$C23&gt;$E$3</formula>
    </cfRule>
  </conditionalFormatting>
  <conditionalFormatting sqref="K23:K27">
    <cfRule type="expression" dxfId="8371" priority="374">
      <formula>$C23&lt;$E$3</formula>
    </cfRule>
  </conditionalFormatting>
  <conditionalFormatting sqref="K23:K27">
    <cfRule type="expression" dxfId="8370" priority="370">
      <formula>$C23=$E$3</formula>
    </cfRule>
    <cfRule type="expression" dxfId="8369" priority="371">
      <formula>$C23&lt;$E$3</formula>
    </cfRule>
    <cfRule type="cellIs" dxfId="8368" priority="372" operator="equal">
      <formula>0</formula>
    </cfRule>
    <cfRule type="expression" dxfId="8367" priority="373">
      <formula>$C23&gt;$E$3</formula>
    </cfRule>
  </conditionalFormatting>
  <conditionalFormatting sqref="K23:K27">
    <cfRule type="expression" dxfId="8366" priority="369">
      <formula>$C23&lt;$E$3</formula>
    </cfRule>
  </conditionalFormatting>
  <conditionalFormatting sqref="K23:K27">
    <cfRule type="expression" dxfId="8365" priority="365">
      <formula>$C23=$E$3</formula>
    </cfRule>
    <cfRule type="expression" dxfId="8364" priority="366">
      <formula>$C23&lt;$E$3</formula>
    </cfRule>
    <cfRule type="cellIs" dxfId="8363" priority="367" operator="equal">
      <formula>0</formula>
    </cfRule>
    <cfRule type="expression" dxfId="8362" priority="368">
      <formula>$C23&gt;$E$3</formula>
    </cfRule>
  </conditionalFormatting>
  <conditionalFormatting sqref="K23:K27">
    <cfRule type="expression" dxfId="8361" priority="364">
      <formula>$C23&lt;$E$3</formula>
    </cfRule>
  </conditionalFormatting>
  <conditionalFormatting sqref="K23:K27">
    <cfRule type="expression" dxfId="8360" priority="360">
      <formula>$C23=$E$3</formula>
    </cfRule>
    <cfRule type="expression" dxfId="8359" priority="361">
      <formula>$C23&lt;$E$3</formula>
    </cfRule>
    <cfRule type="cellIs" dxfId="8358" priority="362" operator="equal">
      <formula>0</formula>
    </cfRule>
    <cfRule type="expression" dxfId="8357" priority="363">
      <formula>$C23&gt;$E$3</formula>
    </cfRule>
  </conditionalFormatting>
  <conditionalFormatting sqref="K23:K27">
    <cfRule type="expression" dxfId="8356" priority="359">
      <formula>$E23=""</formula>
    </cfRule>
  </conditionalFormatting>
  <conditionalFormatting sqref="K23:K27">
    <cfRule type="expression" dxfId="8355" priority="358">
      <formula>$C23&lt;$E$3</formula>
    </cfRule>
  </conditionalFormatting>
  <conditionalFormatting sqref="K23:K27">
    <cfRule type="expression" dxfId="8354" priority="357">
      <formula>$E23=""</formula>
    </cfRule>
  </conditionalFormatting>
  <conditionalFormatting sqref="K23:K27">
    <cfRule type="expression" dxfId="8353" priority="356">
      <formula>$E23=""</formula>
    </cfRule>
  </conditionalFormatting>
  <conditionalFormatting sqref="K23:K27">
    <cfRule type="expression" dxfId="8352" priority="355">
      <formula>$C23&lt;$E$3</formula>
    </cfRule>
  </conditionalFormatting>
  <conditionalFormatting sqref="K23:K27">
    <cfRule type="expression" dxfId="8351" priority="354">
      <formula>$E23=""</formula>
    </cfRule>
  </conditionalFormatting>
  <conditionalFormatting sqref="K23:K27">
    <cfRule type="expression" dxfId="8350" priority="353">
      <formula>$C23&lt;$E$3</formula>
    </cfRule>
  </conditionalFormatting>
  <conditionalFormatting sqref="K23:K27">
    <cfRule type="expression" dxfId="8349" priority="352">
      <formula>$E23=""</formula>
    </cfRule>
  </conditionalFormatting>
  <conditionalFormatting sqref="K23:K27">
    <cfRule type="expression" dxfId="8348" priority="351">
      <formula>$C23&lt;$E$3</formula>
    </cfRule>
  </conditionalFormatting>
  <conditionalFormatting sqref="K23:K27">
    <cfRule type="expression" dxfId="8347" priority="350">
      <formula>$E23=""</formula>
    </cfRule>
  </conditionalFormatting>
  <conditionalFormatting sqref="K23:K29">
    <cfRule type="expression" dxfId="8346" priority="348">
      <formula>$C23&lt;$E$3</formula>
    </cfRule>
  </conditionalFormatting>
  <conditionalFormatting sqref="K23:K29">
    <cfRule type="expression" dxfId="8345" priority="345">
      <formula>$C23=$E$3</formula>
    </cfRule>
    <cfRule type="expression" dxfId="8344" priority="346">
      <formula>$C23&lt;$E$3</formula>
    </cfRule>
    <cfRule type="cellIs" dxfId="8343" priority="347" operator="equal">
      <formula>0</formula>
    </cfRule>
    <cfRule type="expression" dxfId="8342" priority="349">
      <formula>$C23&gt;$E$3</formula>
    </cfRule>
  </conditionalFormatting>
  <conditionalFormatting sqref="K23:K29">
    <cfRule type="expression" dxfId="8341" priority="344">
      <formula>$E23=""</formula>
    </cfRule>
  </conditionalFormatting>
  <conditionalFormatting sqref="K23:K29">
    <cfRule type="expression" dxfId="8340" priority="343">
      <formula>$E23=""</formula>
    </cfRule>
  </conditionalFormatting>
  <conditionalFormatting sqref="K23:K29">
    <cfRule type="expression" dxfId="8339" priority="342">
      <formula>$E23=""</formula>
    </cfRule>
  </conditionalFormatting>
  <conditionalFormatting sqref="K37">
    <cfRule type="expression" dxfId="8338" priority="341">
      <formula>$C37&lt;$E$3</formula>
    </cfRule>
  </conditionalFormatting>
  <conditionalFormatting sqref="K37">
    <cfRule type="expression" dxfId="8337" priority="337">
      <formula>$C37=$E$3</formula>
    </cfRule>
    <cfRule type="expression" dxfId="8336" priority="338">
      <formula>$C37&lt;$E$3</formula>
    </cfRule>
    <cfRule type="cellIs" dxfId="8335" priority="339" operator="equal">
      <formula>0</formula>
    </cfRule>
    <cfRule type="expression" dxfId="8334" priority="340">
      <formula>$C37&gt;$E$3</formula>
    </cfRule>
  </conditionalFormatting>
  <conditionalFormatting sqref="K37">
    <cfRule type="expression" dxfId="8333" priority="336">
      <formula>$C37&lt;$E$3</formula>
    </cfRule>
  </conditionalFormatting>
  <conditionalFormatting sqref="K37">
    <cfRule type="expression" dxfId="8332" priority="332">
      <formula>$C37=$E$3</formula>
    </cfRule>
    <cfRule type="expression" dxfId="8331" priority="333">
      <formula>$C37&lt;$E$3</formula>
    </cfRule>
    <cfRule type="cellIs" dxfId="8330" priority="334" operator="equal">
      <formula>0</formula>
    </cfRule>
    <cfRule type="expression" dxfId="8329" priority="335">
      <formula>$C37&gt;$E$3</formula>
    </cfRule>
  </conditionalFormatting>
  <conditionalFormatting sqref="K37">
    <cfRule type="expression" dxfId="8328" priority="331">
      <formula>$C37&lt;$E$3</formula>
    </cfRule>
  </conditionalFormatting>
  <conditionalFormatting sqref="K37">
    <cfRule type="expression" dxfId="8327" priority="327">
      <formula>$C37=$E$3</formula>
    </cfRule>
    <cfRule type="expression" dxfId="8326" priority="328">
      <formula>$C37&lt;$E$3</formula>
    </cfRule>
    <cfRule type="cellIs" dxfId="8325" priority="329" operator="equal">
      <formula>0</formula>
    </cfRule>
    <cfRule type="expression" dxfId="8324" priority="330">
      <formula>$C37&gt;$E$3</formula>
    </cfRule>
  </conditionalFormatting>
  <conditionalFormatting sqref="K37">
    <cfRule type="expression" dxfId="8323" priority="326">
      <formula>$C37&lt;$E$3</formula>
    </cfRule>
  </conditionalFormatting>
  <conditionalFormatting sqref="K37">
    <cfRule type="expression" dxfId="8322" priority="322">
      <formula>$C37=$E$3</formula>
    </cfRule>
    <cfRule type="expression" dxfId="8321" priority="323">
      <formula>$C37&lt;$E$3</formula>
    </cfRule>
    <cfRule type="cellIs" dxfId="8320" priority="324" operator="equal">
      <formula>0</formula>
    </cfRule>
    <cfRule type="expression" dxfId="8319" priority="325">
      <formula>$C37&gt;$E$3</formula>
    </cfRule>
  </conditionalFormatting>
  <conditionalFormatting sqref="K37">
    <cfRule type="expression" dxfId="8318" priority="321">
      <formula>$E37=""</formula>
    </cfRule>
  </conditionalFormatting>
  <conditionalFormatting sqref="K37">
    <cfRule type="expression" dxfId="8317" priority="320">
      <formula>$C37&lt;$E$3</formula>
    </cfRule>
  </conditionalFormatting>
  <conditionalFormatting sqref="K37">
    <cfRule type="expression" dxfId="8316" priority="319">
      <formula>$E37=""</formula>
    </cfRule>
  </conditionalFormatting>
  <conditionalFormatting sqref="K37">
    <cfRule type="expression" dxfId="8315" priority="318">
      <formula>$E37=""</formula>
    </cfRule>
  </conditionalFormatting>
  <conditionalFormatting sqref="K37">
    <cfRule type="expression" dxfId="8314" priority="317">
      <formula>$C37&lt;$E$3</formula>
    </cfRule>
  </conditionalFormatting>
  <conditionalFormatting sqref="K37">
    <cfRule type="expression" dxfId="8313" priority="316">
      <formula>$E37=""</formula>
    </cfRule>
  </conditionalFormatting>
  <conditionalFormatting sqref="K37">
    <cfRule type="expression" dxfId="8312" priority="315">
      <formula>$C37&lt;$E$3</formula>
    </cfRule>
  </conditionalFormatting>
  <conditionalFormatting sqref="K37">
    <cfRule type="expression" dxfId="8311" priority="314">
      <formula>$E37=""</formula>
    </cfRule>
  </conditionalFormatting>
  <conditionalFormatting sqref="K37">
    <cfRule type="expression" dxfId="8310" priority="313">
      <formula>$C37&lt;$E$3</formula>
    </cfRule>
  </conditionalFormatting>
  <conditionalFormatting sqref="K37">
    <cfRule type="expression" dxfId="8309" priority="312">
      <formula>$E37=""</formula>
    </cfRule>
  </conditionalFormatting>
  <conditionalFormatting sqref="K37">
    <cfRule type="expression" dxfId="8308" priority="311">
      <formula>$C37&lt;$E$3</formula>
    </cfRule>
  </conditionalFormatting>
  <conditionalFormatting sqref="K37">
    <cfRule type="expression" dxfId="8307" priority="307">
      <formula>$C37=$E$3</formula>
    </cfRule>
    <cfRule type="expression" dxfId="8306" priority="308">
      <formula>$C37&lt;$E$3</formula>
    </cfRule>
    <cfRule type="cellIs" dxfId="8305" priority="309" operator="equal">
      <formula>0</formula>
    </cfRule>
    <cfRule type="expression" dxfId="8304" priority="310">
      <formula>$C37&gt;$E$3</formula>
    </cfRule>
  </conditionalFormatting>
  <conditionalFormatting sqref="K37">
    <cfRule type="expression" dxfId="8303" priority="306">
      <formula>$C37&lt;$E$3</formula>
    </cfRule>
  </conditionalFormatting>
  <conditionalFormatting sqref="K37">
    <cfRule type="expression" dxfId="8302" priority="302">
      <formula>$C37=$E$3</formula>
    </cfRule>
    <cfRule type="expression" dxfId="8301" priority="303">
      <formula>$C37&lt;$E$3</formula>
    </cfRule>
    <cfRule type="cellIs" dxfId="8300" priority="304" operator="equal">
      <formula>0</formula>
    </cfRule>
    <cfRule type="expression" dxfId="8299" priority="305">
      <formula>$C37&gt;$E$3</formula>
    </cfRule>
  </conditionalFormatting>
  <conditionalFormatting sqref="K37">
    <cfRule type="expression" dxfId="8298" priority="301">
      <formula>$C37&lt;$E$3</formula>
    </cfRule>
  </conditionalFormatting>
  <conditionalFormatting sqref="K37">
    <cfRule type="expression" dxfId="8297" priority="297">
      <formula>$C37=$E$3</formula>
    </cfRule>
    <cfRule type="expression" dxfId="8296" priority="298">
      <formula>$C37&lt;$E$3</formula>
    </cfRule>
    <cfRule type="cellIs" dxfId="8295" priority="299" operator="equal">
      <formula>0</formula>
    </cfRule>
    <cfRule type="expression" dxfId="8294" priority="300">
      <formula>$C37&gt;$E$3</formula>
    </cfRule>
  </conditionalFormatting>
  <conditionalFormatting sqref="K37">
    <cfRule type="expression" dxfId="8293" priority="296">
      <formula>$C37&lt;$E$3</formula>
    </cfRule>
  </conditionalFormatting>
  <conditionalFormatting sqref="K37">
    <cfRule type="expression" dxfId="8292" priority="292">
      <formula>$C37=$E$3</formula>
    </cfRule>
    <cfRule type="expression" dxfId="8291" priority="293">
      <formula>$C37&lt;$E$3</formula>
    </cfRule>
    <cfRule type="cellIs" dxfId="8290" priority="294" operator="equal">
      <formula>0</formula>
    </cfRule>
    <cfRule type="expression" dxfId="8289" priority="295">
      <formula>$C37&gt;$E$3</formula>
    </cfRule>
  </conditionalFormatting>
  <conditionalFormatting sqref="K37">
    <cfRule type="expression" dxfId="8288" priority="291">
      <formula>$E37=""</formula>
    </cfRule>
  </conditionalFormatting>
  <conditionalFormatting sqref="K37">
    <cfRule type="expression" dxfId="8287" priority="290">
      <formula>$C37&lt;$E$3</formula>
    </cfRule>
  </conditionalFormatting>
  <conditionalFormatting sqref="K37">
    <cfRule type="expression" dxfId="8286" priority="289">
      <formula>$E37=""</formula>
    </cfRule>
  </conditionalFormatting>
  <conditionalFormatting sqref="K37">
    <cfRule type="expression" dxfId="8285" priority="288">
      <formula>$E37=""</formula>
    </cfRule>
  </conditionalFormatting>
  <conditionalFormatting sqref="K37">
    <cfRule type="expression" dxfId="8284" priority="287">
      <formula>$C37&lt;$E$3</formula>
    </cfRule>
  </conditionalFormatting>
  <conditionalFormatting sqref="K37">
    <cfRule type="expression" dxfId="8283" priority="286">
      <formula>$E37=""</formula>
    </cfRule>
  </conditionalFormatting>
  <conditionalFormatting sqref="K37">
    <cfRule type="expression" dxfId="8282" priority="285">
      <formula>$C37&lt;$E$3</formula>
    </cfRule>
  </conditionalFormatting>
  <conditionalFormatting sqref="K37">
    <cfRule type="expression" dxfId="8281" priority="284">
      <formula>$E37=""</formula>
    </cfRule>
  </conditionalFormatting>
  <conditionalFormatting sqref="K37">
    <cfRule type="expression" dxfId="8280" priority="283">
      <formula>$C37&lt;$E$3</formula>
    </cfRule>
  </conditionalFormatting>
  <conditionalFormatting sqref="K37">
    <cfRule type="expression" dxfId="8279" priority="282">
      <formula>$E37=""</formula>
    </cfRule>
  </conditionalFormatting>
  <conditionalFormatting sqref="K32:K36">
    <cfRule type="expression" dxfId="8278" priority="281">
      <formula>$C32&lt;$E$3</formula>
    </cfRule>
  </conditionalFormatting>
  <conditionalFormatting sqref="K32:K36">
    <cfRule type="expression" dxfId="8277" priority="277">
      <formula>$C32=$E$3</formula>
    </cfRule>
    <cfRule type="expression" dxfId="8276" priority="278">
      <formula>$C32&lt;$E$3</formula>
    </cfRule>
    <cfRule type="cellIs" dxfId="8275" priority="279" operator="equal">
      <formula>0</formula>
    </cfRule>
    <cfRule type="expression" dxfId="8274" priority="280">
      <formula>$C32&gt;$E$3</formula>
    </cfRule>
  </conditionalFormatting>
  <conditionalFormatting sqref="K32:K36">
    <cfRule type="expression" dxfId="8273" priority="276">
      <formula>$C32&lt;$E$3</formula>
    </cfRule>
  </conditionalFormatting>
  <conditionalFormatting sqref="K32:K36">
    <cfRule type="expression" dxfId="8272" priority="272">
      <formula>$C32=$E$3</formula>
    </cfRule>
    <cfRule type="expression" dxfId="8271" priority="273">
      <formula>$C32&lt;$E$3</formula>
    </cfRule>
    <cfRule type="cellIs" dxfId="8270" priority="274" operator="equal">
      <formula>0</formula>
    </cfRule>
    <cfRule type="expression" dxfId="8269" priority="275">
      <formula>$C32&gt;$E$3</formula>
    </cfRule>
  </conditionalFormatting>
  <conditionalFormatting sqref="K32:K36">
    <cfRule type="expression" dxfId="8268" priority="271">
      <formula>$C32&lt;$E$3</formula>
    </cfRule>
  </conditionalFormatting>
  <conditionalFormatting sqref="K32:K36">
    <cfRule type="expression" dxfId="8267" priority="267">
      <formula>$C32=$E$3</formula>
    </cfRule>
    <cfRule type="expression" dxfId="8266" priority="268">
      <formula>$C32&lt;$E$3</formula>
    </cfRule>
    <cfRule type="cellIs" dxfId="8265" priority="269" operator="equal">
      <formula>0</formula>
    </cfRule>
    <cfRule type="expression" dxfId="8264" priority="270">
      <formula>$C32&gt;$E$3</formula>
    </cfRule>
  </conditionalFormatting>
  <conditionalFormatting sqref="K32:K36">
    <cfRule type="expression" dxfId="8263" priority="266">
      <formula>$C32&lt;$E$3</formula>
    </cfRule>
  </conditionalFormatting>
  <conditionalFormatting sqref="K32:K36">
    <cfRule type="expression" dxfId="8262" priority="262">
      <formula>$C32=$E$3</formula>
    </cfRule>
    <cfRule type="expression" dxfId="8261" priority="263">
      <formula>$C32&lt;$E$3</formula>
    </cfRule>
    <cfRule type="cellIs" dxfId="8260" priority="264" operator="equal">
      <formula>0</formula>
    </cfRule>
    <cfRule type="expression" dxfId="8259" priority="265">
      <formula>$C32&gt;$E$3</formula>
    </cfRule>
  </conditionalFormatting>
  <conditionalFormatting sqref="K32:K36">
    <cfRule type="expression" dxfId="8258" priority="261">
      <formula>$E32=""</formula>
    </cfRule>
  </conditionalFormatting>
  <conditionalFormatting sqref="K32:K36">
    <cfRule type="expression" dxfId="8257" priority="260">
      <formula>$C32&lt;$E$3</formula>
    </cfRule>
  </conditionalFormatting>
  <conditionalFormatting sqref="K32:K36">
    <cfRule type="expression" dxfId="8256" priority="259">
      <formula>$E32=""</formula>
    </cfRule>
  </conditionalFormatting>
  <conditionalFormatting sqref="K32:K36">
    <cfRule type="expression" dxfId="8255" priority="258">
      <formula>$E32=""</formula>
    </cfRule>
  </conditionalFormatting>
  <conditionalFormatting sqref="K32:K36">
    <cfRule type="expression" dxfId="8254" priority="257">
      <formula>$C32&lt;$E$3</formula>
    </cfRule>
  </conditionalFormatting>
  <conditionalFormatting sqref="K32:K36">
    <cfRule type="expression" dxfId="8253" priority="256">
      <formula>$E32=""</formula>
    </cfRule>
  </conditionalFormatting>
  <conditionalFormatting sqref="K32:K36">
    <cfRule type="expression" dxfId="8252" priority="255">
      <formula>$C32&lt;$E$3</formula>
    </cfRule>
  </conditionalFormatting>
  <conditionalFormatting sqref="K32:K36">
    <cfRule type="expression" dxfId="8251" priority="254">
      <formula>$E32=""</formula>
    </cfRule>
  </conditionalFormatting>
  <conditionalFormatting sqref="K32:K36">
    <cfRule type="expression" dxfId="8250" priority="253">
      <formula>$C32&lt;$E$3</formula>
    </cfRule>
  </conditionalFormatting>
  <conditionalFormatting sqref="K32:K36">
    <cfRule type="expression" dxfId="8249" priority="252">
      <formula>$E32=""</formula>
    </cfRule>
  </conditionalFormatting>
  <conditionalFormatting sqref="K32:K36">
    <cfRule type="expression" dxfId="8248" priority="251">
      <formula>$C32&lt;$E$3</formula>
    </cfRule>
  </conditionalFormatting>
  <conditionalFormatting sqref="K32:K36">
    <cfRule type="expression" dxfId="8247" priority="247">
      <formula>$C32=$E$3</formula>
    </cfRule>
    <cfRule type="expression" dxfId="8246" priority="248">
      <formula>$C32&lt;$E$3</formula>
    </cfRule>
    <cfRule type="cellIs" dxfId="8245" priority="249" operator="equal">
      <formula>0</formula>
    </cfRule>
    <cfRule type="expression" dxfId="8244" priority="250">
      <formula>$C32&gt;$E$3</formula>
    </cfRule>
  </conditionalFormatting>
  <conditionalFormatting sqref="K32:K36">
    <cfRule type="expression" dxfId="8243" priority="246">
      <formula>$C32&lt;$E$3</formula>
    </cfRule>
  </conditionalFormatting>
  <conditionalFormatting sqref="K32:K36">
    <cfRule type="expression" dxfId="8242" priority="242">
      <formula>$C32=$E$3</formula>
    </cfRule>
    <cfRule type="expression" dxfId="8241" priority="243">
      <formula>$C32&lt;$E$3</formula>
    </cfRule>
    <cfRule type="cellIs" dxfId="8240" priority="244" operator="equal">
      <formula>0</formula>
    </cfRule>
    <cfRule type="expression" dxfId="8239" priority="245">
      <formula>$C32&gt;$E$3</formula>
    </cfRule>
  </conditionalFormatting>
  <conditionalFormatting sqref="K32:K36">
    <cfRule type="expression" dxfId="8238" priority="241">
      <formula>$C32&lt;$E$3</formula>
    </cfRule>
  </conditionalFormatting>
  <conditionalFormatting sqref="K32:K36">
    <cfRule type="expression" dxfId="8237" priority="237">
      <formula>$C32=$E$3</formula>
    </cfRule>
    <cfRule type="expression" dxfId="8236" priority="238">
      <formula>$C32&lt;$E$3</formula>
    </cfRule>
    <cfRule type="cellIs" dxfId="8235" priority="239" operator="equal">
      <formula>0</formula>
    </cfRule>
    <cfRule type="expression" dxfId="8234" priority="240">
      <formula>$C32&gt;$E$3</formula>
    </cfRule>
  </conditionalFormatting>
  <conditionalFormatting sqref="K32:K36">
    <cfRule type="expression" dxfId="8233" priority="236">
      <formula>$C32&lt;$E$3</formula>
    </cfRule>
  </conditionalFormatting>
  <conditionalFormatting sqref="K32:K36">
    <cfRule type="expression" dxfId="8232" priority="232">
      <formula>$C32=$E$3</formula>
    </cfRule>
    <cfRule type="expression" dxfId="8231" priority="233">
      <formula>$C32&lt;$E$3</formula>
    </cfRule>
    <cfRule type="cellIs" dxfId="8230" priority="234" operator="equal">
      <formula>0</formula>
    </cfRule>
    <cfRule type="expression" dxfId="8229" priority="235">
      <formula>$C32&gt;$E$3</formula>
    </cfRule>
  </conditionalFormatting>
  <conditionalFormatting sqref="K32:K36">
    <cfRule type="expression" dxfId="8228" priority="231">
      <formula>$E32=""</formula>
    </cfRule>
  </conditionalFormatting>
  <conditionalFormatting sqref="K32:K36">
    <cfRule type="expression" dxfId="8227" priority="230">
      <formula>$C32&lt;$E$3</formula>
    </cfRule>
  </conditionalFormatting>
  <conditionalFormatting sqref="K32:K36">
    <cfRule type="expression" dxfId="8226" priority="229">
      <formula>$E32=""</formula>
    </cfRule>
  </conditionalFormatting>
  <conditionalFormatting sqref="K32:K36">
    <cfRule type="expression" dxfId="8225" priority="228">
      <formula>$E32=""</formula>
    </cfRule>
  </conditionalFormatting>
  <conditionalFormatting sqref="K32:K36">
    <cfRule type="expression" dxfId="8224" priority="227">
      <formula>$C32&lt;$E$3</formula>
    </cfRule>
  </conditionalFormatting>
  <conditionalFormatting sqref="K32:K36">
    <cfRule type="expression" dxfId="8223" priority="226">
      <formula>$E32=""</formula>
    </cfRule>
  </conditionalFormatting>
  <conditionalFormatting sqref="K32:K36">
    <cfRule type="expression" dxfId="8222" priority="225">
      <formula>$C32&lt;$E$3</formula>
    </cfRule>
  </conditionalFormatting>
  <conditionalFormatting sqref="K32:K36">
    <cfRule type="expression" dxfId="8221" priority="224">
      <formula>$E32=""</formula>
    </cfRule>
  </conditionalFormatting>
  <conditionalFormatting sqref="K32:K36">
    <cfRule type="expression" dxfId="8220" priority="223">
      <formula>$C32&lt;$E$3</formula>
    </cfRule>
  </conditionalFormatting>
  <conditionalFormatting sqref="K32:K36">
    <cfRule type="expression" dxfId="8219" priority="222">
      <formula>$E32=""</formula>
    </cfRule>
  </conditionalFormatting>
  <conditionalFormatting sqref="K32:K38">
    <cfRule type="expression" dxfId="8218" priority="220">
      <formula>$C32&lt;$E$3</formula>
    </cfRule>
  </conditionalFormatting>
  <conditionalFormatting sqref="K32:K38">
    <cfRule type="expression" dxfId="8217" priority="217">
      <formula>$C32=$E$3</formula>
    </cfRule>
    <cfRule type="expression" dxfId="8216" priority="218">
      <formula>$C32&lt;$E$3</formula>
    </cfRule>
    <cfRule type="cellIs" dxfId="8215" priority="219" operator="equal">
      <formula>0</formula>
    </cfRule>
    <cfRule type="expression" dxfId="8214" priority="221">
      <formula>$C32&gt;$E$3</formula>
    </cfRule>
  </conditionalFormatting>
  <conditionalFormatting sqref="K32:K38">
    <cfRule type="expression" dxfId="8213" priority="216">
      <formula>$E32=""</formula>
    </cfRule>
  </conditionalFormatting>
  <conditionalFormatting sqref="K32:K38">
    <cfRule type="expression" dxfId="8212" priority="215">
      <formula>$E32=""</formula>
    </cfRule>
  </conditionalFormatting>
  <conditionalFormatting sqref="K32:K38">
    <cfRule type="expression" dxfId="8211" priority="214">
      <formula>$E32=""</formula>
    </cfRule>
  </conditionalFormatting>
  <conditionalFormatting sqref="K41:K47">
    <cfRule type="cellIs" dxfId="8210" priority="213" stopIfTrue="1" operator="lessThan">
      <formula>0</formula>
    </cfRule>
  </conditionalFormatting>
  <conditionalFormatting sqref="K46">
    <cfRule type="expression" dxfId="8209" priority="212">
      <formula>$C46&lt;$E$3</formula>
    </cfRule>
  </conditionalFormatting>
  <conditionalFormatting sqref="K46">
    <cfRule type="expression" dxfId="8208" priority="208">
      <formula>$C46=$E$3</formula>
    </cfRule>
    <cfRule type="expression" dxfId="8207" priority="209">
      <formula>$C46&lt;$E$3</formula>
    </cfRule>
    <cfRule type="cellIs" dxfId="8206" priority="210" operator="equal">
      <formula>0</formula>
    </cfRule>
    <cfRule type="expression" dxfId="8205" priority="211">
      <formula>$C46&gt;$E$3</formula>
    </cfRule>
  </conditionalFormatting>
  <conditionalFormatting sqref="K46">
    <cfRule type="expression" dxfId="8204" priority="207">
      <formula>$C46&lt;$E$3</formula>
    </cfRule>
  </conditionalFormatting>
  <conditionalFormatting sqref="K46">
    <cfRule type="expression" dxfId="8203" priority="203">
      <formula>$C46=$E$3</formula>
    </cfRule>
    <cfRule type="expression" dxfId="8202" priority="204">
      <formula>$C46&lt;$E$3</formula>
    </cfRule>
    <cfRule type="cellIs" dxfId="8201" priority="205" operator="equal">
      <formula>0</formula>
    </cfRule>
    <cfRule type="expression" dxfId="8200" priority="206">
      <formula>$C46&gt;$E$3</formula>
    </cfRule>
  </conditionalFormatting>
  <conditionalFormatting sqref="K46">
    <cfRule type="expression" dxfId="8199" priority="202">
      <formula>$C46&lt;$E$3</formula>
    </cfRule>
  </conditionalFormatting>
  <conditionalFormatting sqref="K46">
    <cfRule type="expression" dxfId="8198" priority="198">
      <formula>$C46=$E$3</formula>
    </cfRule>
    <cfRule type="expression" dxfId="8197" priority="199">
      <formula>$C46&lt;$E$3</formula>
    </cfRule>
    <cfRule type="cellIs" dxfId="8196" priority="200" operator="equal">
      <formula>0</formula>
    </cfRule>
    <cfRule type="expression" dxfId="8195" priority="201">
      <formula>$C46&gt;$E$3</formula>
    </cfRule>
  </conditionalFormatting>
  <conditionalFormatting sqref="K46">
    <cfRule type="expression" dxfId="8194" priority="197">
      <formula>$C46&lt;$E$3</formula>
    </cfRule>
  </conditionalFormatting>
  <conditionalFormatting sqref="K46">
    <cfRule type="expression" dxfId="8193" priority="193">
      <formula>$C46=$E$3</formula>
    </cfRule>
    <cfRule type="expression" dxfId="8192" priority="194">
      <formula>$C46&lt;$E$3</formula>
    </cfRule>
    <cfRule type="cellIs" dxfId="8191" priority="195" operator="equal">
      <formula>0</formula>
    </cfRule>
    <cfRule type="expression" dxfId="8190" priority="196">
      <formula>$C46&gt;$E$3</formula>
    </cfRule>
  </conditionalFormatting>
  <conditionalFormatting sqref="K46">
    <cfRule type="expression" dxfId="8189" priority="192">
      <formula>$E46=""</formula>
    </cfRule>
  </conditionalFormatting>
  <conditionalFormatting sqref="K46">
    <cfRule type="expression" dxfId="8188" priority="191">
      <formula>$C46&lt;$E$3</formula>
    </cfRule>
  </conditionalFormatting>
  <conditionalFormatting sqref="K46">
    <cfRule type="expression" dxfId="8187" priority="190">
      <formula>$E46=""</formula>
    </cfRule>
  </conditionalFormatting>
  <conditionalFormatting sqref="K46">
    <cfRule type="expression" dxfId="8186" priority="189">
      <formula>$E46=""</formula>
    </cfRule>
  </conditionalFormatting>
  <conditionalFormatting sqref="K46">
    <cfRule type="expression" dxfId="8185" priority="188">
      <formula>$C46&lt;$E$3</formula>
    </cfRule>
  </conditionalFormatting>
  <conditionalFormatting sqref="K46">
    <cfRule type="expression" dxfId="8184" priority="187">
      <formula>$E46=""</formula>
    </cfRule>
  </conditionalFormatting>
  <conditionalFormatting sqref="K46">
    <cfRule type="expression" dxfId="8183" priority="186">
      <formula>$C46&lt;$E$3</formula>
    </cfRule>
  </conditionalFormatting>
  <conditionalFormatting sqref="K46">
    <cfRule type="expression" dxfId="8182" priority="185">
      <formula>$E46=""</formula>
    </cfRule>
  </conditionalFormatting>
  <conditionalFormatting sqref="K46">
    <cfRule type="expression" dxfId="8181" priority="184">
      <formula>$C46&lt;$E$3</formula>
    </cfRule>
  </conditionalFormatting>
  <conditionalFormatting sqref="K46">
    <cfRule type="expression" dxfId="8180" priority="183">
      <formula>$E46=""</formula>
    </cfRule>
  </conditionalFormatting>
  <conditionalFormatting sqref="K46">
    <cfRule type="expression" dxfId="8179" priority="182">
      <formula>$C46&lt;$E$3</formula>
    </cfRule>
  </conditionalFormatting>
  <conditionalFormatting sqref="K46">
    <cfRule type="expression" dxfId="8178" priority="178">
      <formula>$C46=$E$3</formula>
    </cfRule>
    <cfRule type="expression" dxfId="8177" priority="179">
      <formula>$C46&lt;$E$3</formula>
    </cfRule>
    <cfRule type="cellIs" dxfId="8176" priority="180" operator="equal">
      <formula>0</formula>
    </cfRule>
    <cfRule type="expression" dxfId="8175" priority="181">
      <formula>$C46&gt;$E$3</formula>
    </cfRule>
  </conditionalFormatting>
  <conditionalFormatting sqref="K46">
    <cfRule type="expression" dxfId="8174" priority="177">
      <formula>$C46&lt;$E$3</formula>
    </cfRule>
  </conditionalFormatting>
  <conditionalFormatting sqref="K46">
    <cfRule type="expression" dxfId="8173" priority="173">
      <formula>$C46=$E$3</formula>
    </cfRule>
    <cfRule type="expression" dxfId="8172" priority="174">
      <formula>$C46&lt;$E$3</formula>
    </cfRule>
    <cfRule type="cellIs" dxfId="8171" priority="175" operator="equal">
      <formula>0</formula>
    </cfRule>
    <cfRule type="expression" dxfId="8170" priority="176">
      <formula>$C46&gt;$E$3</formula>
    </cfRule>
  </conditionalFormatting>
  <conditionalFormatting sqref="K46">
    <cfRule type="expression" dxfId="8169" priority="172">
      <formula>$C46&lt;$E$3</formula>
    </cfRule>
  </conditionalFormatting>
  <conditionalFormatting sqref="K46">
    <cfRule type="expression" dxfId="8168" priority="168">
      <formula>$C46=$E$3</formula>
    </cfRule>
    <cfRule type="expression" dxfId="8167" priority="169">
      <formula>$C46&lt;$E$3</formula>
    </cfRule>
    <cfRule type="cellIs" dxfId="8166" priority="170" operator="equal">
      <formula>0</formula>
    </cfRule>
    <cfRule type="expression" dxfId="8165" priority="171">
      <formula>$C46&gt;$E$3</formula>
    </cfRule>
  </conditionalFormatting>
  <conditionalFormatting sqref="K46">
    <cfRule type="expression" dxfId="8164" priority="167">
      <formula>$C46&lt;$E$3</formula>
    </cfRule>
  </conditionalFormatting>
  <conditionalFormatting sqref="K46">
    <cfRule type="expression" dxfId="8163" priority="163">
      <formula>$C46=$E$3</formula>
    </cfRule>
    <cfRule type="expression" dxfId="8162" priority="164">
      <formula>$C46&lt;$E$3</formula>
    </cfRule>
    <cfRule type="cellIs" dxfId="8161" priority="165" operator="equal">
      <formula>0</formula>
    </cfRule>
    <cfRule type="expression" dxfId="8160" priority="166">
      <formula>$C46&gt;$E$3</formula>
    </cfRule>
  </conditionalFormatting>
  <conditionalFormatting sqref="K46">
    <cfRule type="expression" dxfId="8159" priority="162">
      <formula>$E46=""</formula>
    </cfRule>
  </conditionalFormatting>
  <conditionalFormatting sqref="K46">
    <cfRule type="expression" dxfId="8158" priority="161">
      <formula>$C46&lt;$E$3</formula>
    </cfRule>
  </conditionalFormatting>
  <conditionalFormatting sqref="K46">
    <cfRule type="expression" dxfId="8157" priority="160">
      <formula>$E46=""</formula>
    </cfRule>
  </conditionalFormatting>
  <conditionalFormatting sqref="K46">
    <cfRule type="expression" dxfId="8156" priority="159">
      <formula>$E46=""</formula>
    </cfRule>
  </conditionalFormatting>
  <conditionalFormatting sqref="K46">
    <cfRule type="expression" dxfId="8155" priority="158">
      <formula>$C46&lt;$E$3</formula>
    </cfRule>
  </conditionalFormatting>
  <conditionalFormatting sqref="K46">
    <cfRule type="expression" dxfId="8154" priority="157">
      <formula>$E46=""</formula>
    </cfRule>
  </conditionalFormatting>
  <conditionalFormatting sqref="K46">
    <cfRule type="expression" dxfId="8153" priority="156">
      <formula>$C46&lt;$E$3</formula>
    </cfRule>
  </conditionalFormatting>
  <conditionalFormatting sqref="K46">
    <cfRule type="expression" dxfId="8152" priority="155">
      <formula>$E46=""</formula>
    </cfRule>
  </conditionalFormatting>
  <conditionalFormatting sqref="K46">
    <cfRule type="expression" dxfId="8151" priority="154">
      <formula>$C46&lt;$E$3</formula>
    </cfRule>
  </conditionalFormatting>
  <conditionalFormatting sqref="K46">
    <cfRule type="expression" dxfId="8150" priority="153">
      <formula>$E46=""</formula>
    </cfRule>
  </conditionalFormatting>
  <conditionalFormatting sqref="K41:K45">
    <cfRule type="expression" dxfId="8149" priority="152">
      <formula>$C41&lt;$E$3</formula>
    </cfRule>
  </conditionalFormatting>
  <conditionalFormatting sqref="K41:K45">
    <cfRule type="expression" dxfId="8148" priority="148">
      <formula>$C41=$E$3</formula>
    </cfRule>
    <cfRule type="expression" dxfId="8147" priority="149">
      <formula>$C41&lt;$E$3</formula>
    </cfRule>
    <cfRule type="cellIs" dxfId="8146" priority="150" operator="equal">
      <formula>0</formula>
    </cfRule>
    <cfRule type="expression" dxfId="8145" priority="151">
      <formula>$C41&gt;$E$3</formula>
    </cfRule>
  </conditionalFormatting>
  <conditionalFormatting sqref="K41:K45">
    <cfRule type="expression" dxfId="8144" priority="147">
      <formula>$C41&lt;$E$3</formula>
    </cfRule>
  </conditionalFormatting>
  <conditionalFormatting sqref="K41:K45">
    <cfRule type="expression" dxfId="8143" priority="143">
      <formula>$C41=$E$3</formula>
    </cfRule>
    <cfRule type="expression" dxfId="8142" priority="144">
      <formula>$C41&lt;$E$3</formula>
    </cfRule>
    <cfRule type="cellIs" dxfId="8141" priority="145" operator="equal">
      <formula>0</formula>
    </cfRule>
    <cfRule type="expression" dxfId="8140" priority="146">
      <formula>$C41&gt;$E$3</formula>
    </cfRule>
  </conditionalFormatting>
  <conditionalFormatting sqref="K41:K45">
    <cfRule type="expression" dxfId="8139" priority="142">
      <formula>$C41&lt;$E$3</formula>
    </cfRule>
  </conditionalFormatting>
  <conditionalFormatting sqref="K41:K45">
    <cfRule type="expression" dxfId="8138" priority="138">
      <formula>$C41=$E$3</formula>
    </cfRule>
    <cfRule type="expression" dxfId="8137" priority="139">
      <formula>$C41&lt;$E$3</formula>
    </cfRule>
    <cfRule type="cellIs" dxfId="8136" priority="140" operator="equal">
      <formula>0</formula>
    </cfRule>
    <cfRule type="expression" dxfId="8135" priority="141">
      <formula>$C41&gt;$E$3</formula>
    </cfRule>
  </conditionalFormatting>
  <conditionalFormatting sqref="K41:K45">
    <cfRule type="expression" dxfId="8134" priority="137">
      <formula>$C41&lt;$E$3</formula>
    </cfRule>
  </conditionalFormatting>
  <conditionalFormatting sqref="K41:K45">
    <cfRule type="expression" dxfId="8133" priority="133">
      <formula>$C41=$E$3</formula>
    </cfRule>
    <cfRule type="expression" dxfId="8132" priority="134">
      <formula>$C41&lt;$E$3</formula>
    </cfRule>
    <cfRule type="cellIs" dxfId="8131" priority="135" operator="equal">
      <formula>0</formula>
    </cfRule>
    <cfRule type="expression" dxfId="8130" priority="136">
      <formula>$C41&gt;$E$3</formula>
    </cfRule>
  </conditionalFormatting>
  <conditionalFormatting sqref="K41:K45">
    <cfRule type="expression" dxfId="8129" priority="132">
      <formula>$E41=""</formula>
    </cfRule>
  </conditionalFormatting>
  <conditionalFormatting sqref="K41:K45">
    <cfRule type="expression" dxfId="8128" priority="131">
      <formula>$C41&lt;$E$3</formula>
    </cfRule>
  </conditionalFormatting>
  <conditionalFormatting sqref="K41:K45">
    <cfRule type="expression" dxfId="8127" priority="130">
      <formula>$E41=""</formula>
    </cfRule>
  </conditionalFormatting>
  <conditionalFormatting sqref="K41:K45">
    <cfRule type="expression" dxfId="8126" priority="129">
      <formula>$E41=""</formula>
    </cfRule>
  </conditionalFormatting>
  <conditionalFormatting sqref="K41:K45">
    <cfRule type="expression" dxfId="8125" priority="128">
      <formula>$C41&lt;$E$3</formula>
    </cfRule>
  </conditionalFormatting>
  <conditionalFormatting sqref="K41:K45">
    <cfRule type="expression" dxfId="8124" priority="127">
      <formula>$E41=""</formula>
    </cfRule>
  </conditionalFormatting>
  <conditionalFormatting sqref="K41:K45">
    <cfRule type="expression" dxfId="8123" priority="126">
      <formula>$C41&lt;$E$3</formula>
    </cfRule>
  </conditionalFormatting>
  <conditionalFormatting sqref="K41:K45">
    <cfRule type="expression" dxfId="8122" priority="125">
      <formula>$E41=""</formula>
    </cfRule>
  </conditionalFormatting>
  <conditionalFormatting sqref="K41:K45">
    <cfRule type="expression" dxfId="8121" priority="124">
      <formula>$C41&lt;$E$3</formula>
    </cfRule>
  </conditionalFormatting>
  <conditionalFormatting sqref="K41:K45">
    <cfRule type="expression" dxfId="8120" priority="123">
      <formula>$E41=""</formula>
    </cfRule>
  </conditionalFormatting>
  <conditionalFormatting sqref="K41:K45">
    <cfRule type="expression" dxfId="8119" priority="122">
      <formula>$C41&lt;$E$3</formula>
    </cfRule>
  </conditionalFormatting>
  <conditionalFormatting sqref="K41:K45">
    <cfRule type="expression" dxfId="8118" priority="118">
      <formula>$C41=$E$3</formula>
    </cfRule>
    <cfRule type="expression" dxfId="8117" priority="119">
      <formula>$C41&lt;$E$3</formula>
    </cfRule>
    <cfRule type="cellIs" dxfId="8116" priority="120" operator="equal">
      <formula>0</formula>
    </cfRule>
    <cfRule type="expression" dxfId="8115" priority="121">
      <formula>$C41&gt;$E$3</formula>
    </cfRule>
  </conditionalFormatting>
  <conditionalFormatting sqref="K41:K45">
    <cfRule type="expression" dxfId="8114" priority="117">
      <formula>$C41&lt;$E$3</formula>
    </cfRule>
  </conditionalFormatting>
  <conditionalFormatting sqref="K41:K45">
    <cfRule type="expression" dxfId="8113" priority="113">
      <formula>$C41=$E$3</formula>
    </cfRule>
    <cfRule type="expression" dxfId="8112" priority="114">
      <formula>$C41&lt;$E$3</formula>
    </cfRule>
    <cfRule type="cellIs" dxfId="8111" priority="115" operator="equal">
      <formula>0</formula>
    </cfRule>
    <cfRule type="expression" dxfId="8110" priority="116">
      <formula>$C41&gt;$E$3</formula>
    </cfRule>
  </conditionalFormatting>
  <conditionalFormatting sqref="K41:K45">
    <cfRule type="expression" dxfId="8109" priority="112">
      <formula>$C41&lt;$E$3</formula>
    </cfRule>
  </conditionalFormatting>
  <conditionalFormatting sqref="K41:K45">
    <cfRule type="expression" dxfId="8108" priority="108">
      <formula>$C41=$E$3</formula>
    </cfRule>
    <cfRule type="expression" dxfId="8107" priority="109">
      <formula>$C41&lt;$E$3</formula>
    </cfRule>
    <cfRule type="cellIs" dxfId="8106" priority="110" operator="equal">
      <formula>0</formula>
    </cfRule>
    <cfRule type="expression" dxfId="8105" priority="111">
      <formula>$C41&gt;$E$3</formula>
    </cfRule>
  </conditionalFormatting>
  <conditionalFormatting sqref="K41:K45">
    <cfRule type="expression" dxfId="8104" priority="107">
      <formula>$C41&lt;$E$3</formula>
    </cfRule>
  </conditionalFormatting>
  <conditionalFormatting sqref="K41:K45">
    <cfRule type="expression" dxfId="8103" priority="103">
      <formula>$C41=$E$3</formula>
    </cfRule>
    <cfRule type="expression" dxfId="8102" priority="104">
      <formula>$C41&lt;$E$3</formula>
    </cfRule>
    <cfRule type="cellIs" dxfId="8101" priority="105" operator="equal">
      <formula>0</formula>
    </cfRule>
    <cfRule type="expression" dxfId="8100" priority="106">
      <formula>$C41&gt;$E$3</formula>
    </cfRule>
  </conditionalFormatting>
  <conditionalFormatting sqref="K41:K45">
    <cfRule type="expression" dxfId="8099" priority="102">
      <formula>$E41=""</formula>
    </cfRule>
  </conditionalFormatting>
  <conditionalFormatting sqref="K41:K45">
    <cfRule type="expression" dxfId="8098" priority="101">
      <formula>$C41&lt;$E$3</formula>
    </cfRule>
  </conditionalFormatting>
  <conditionalFormatting sqref="K41:K45">
    <cfRule type="expression" dxfId="8097" priority="100">
      <formula>$E41=""</formula>
    </cfRule>
  </conditionalFormatting>
  <conditionalFormatting sqref="K41:K45">
    <cfRule type="expression" dxfId="8096" priority="99">
      <formula>$E41=""</formula>
    </cfRule>
  </conditionalFormatting>
  <conditionalFormatting sqref="K41:K45">
    <cfRule type="expression" dxfId="8095" priority="98">
      <formula>$C41&lt;$E$3</formula>
    </cfRule>
  </conditionalFormatting>
  <conditionalFormatting sqref="K41:K45">
    <cfRule type="expression" dxfId="8094" priority="97">
      <formula>$E41=""</formula>
    </cfRule>
  </conditionalFormatting>
  <conditionalFormatting sqref="K41:K45">
    <cfRule type="expression" dxfId="8093" priority="96">
      <formula>$C41&lt;$E$3</formula>
    </cfRule>
  </conditionalFormatting>
  <conditionalFormatting sqref="K41:K45">
    <cfRule type="expression" dxfId="8092" priority="95">
      <formula>$E41=""</formula>
    </cfRule>
  </conditionalFormatting>
  <conditionalFormatting sqref="K41:K45">
    <cfRule type="expression" dxfId="8091" priority="94">
      <formula>$C41&lt;$E$3</formula>
    </cfRule>
  </conditionalFormatting>
  <conditionalFormatting sqref="K41:K45">
    <cfRule type="expression" dxfId="8090" priority="93">
      <formula>$E41=""</formula>
    </cfRule>
  </conditionalFormatting>
  <conditionalFormatting sqref="K41:K47">
    <cfRule type="expression" dxfId="8089" priority="91">
      <formula>$C41&lt;$E$3</formula>
    </cfRule>
  </conditionalFormatting>
  <conditionalFormatting sqref="K41:K47">
    <cfRule type="expression" dxfId="8088" priority="88">
      <formula>$C41=$E$3</formula>
    </cfRule>
    <cfRule type="expression" dxfId="8087" priority="89">
      <formula>$C41&lt;$E$3</formula>
    </cfRule>
    <cfRule type="cellIs" dxfId="8086" priority="90" operator="equal">
      <formula>0</formula>
    </cfRule>
    <cfRule type="expression" dxfId="8085" priority="92">
      <formula>$C41&gt;$E$3</formula>
    </cfRule>
  </conditionalFormatting>
  <conditionalFormatting sqref="K41:K47">
    <cfRule type="expression" dxfId="8084" priority="87">
      <formula>$E41=""</formula>
    </cfRule>
  </conditionalFormatting>
  <conditionalFormatting sqref="K41:K47">
    <cfRule type="expression" dxfId="8083" priority="86">
      <formula>$E41=""</formula>
    </cfRule>
  </conditionalFormatting>
  <conditionalFormatting sqref="K41:K47">
    <cfRule type="expression" dxfId="8082" priority="85">
      <formula>$E41=""</formula>
    </cfRule>
  </conditionalFormatting>
  <conditionalFormatting sqref="K50:K51">
    <cfRule type="cellIs" dxfId="8081" priority="84" stopIfTrue="1" operator="lessThan">
      <formula>0</formula>
    </cfRule>
  </conditionalFormatting>
  <conditionalFormatting sqref="K50:K51">
    <cfRule type="expression" dxfId="8080" priority="82">
      <formula>$C50&lt;$E$3</formula>
    </cfRule>
  </conditionalFormatting>
  <conditionalFormatting sqref="K50:K51">
    <cfRule type="expression" dxfId="8079" priority="79">
      <formula>$C50=$E$3</formula>
    </cfRule>
    <cfRule type="expression" dxfId="8078" priority="80">
      <formula>$C50&lt;$E$3</formula>
    </cfRule>
    <cfRule type="cellIs" dxfId="8077" priority="81" operator="equal">
      <formula>0</formula>
    </cfRule>
    <cfRule type="expression" dxfId="8076" priority="83">
      <formula>$C50&gt;$E$3</formula>
    </cfRule>
  </conditionalFormatting>
  <conditionalFormatting sqref="K50:K51">
    <cfRule type="expression" dxfId="8075" priority="78">
      <formula>$E50=""</formula>
    </cfRule>
  </conditionalFormatting>
  <conditionalFormatting sqref="K50:K51">
    <cfRule type="expression" dxfId="8074" priority="77">
      <formula>$E50=""</formula>
    </cfRule>
  </conditionalFormatting>
  <conditionalFormatting sqref="K50:K51">
    <cfRule type="expression" dxfId="8073" priority="76">
      <formula>$E50=""</formula>
    </cfRule>
  </conditionalFormatting>
  <conditionalFormatting sqref="K50:K51">
    <cfRule type="cellIs" dxfId="8072" priority="75" stopIfTrue="1" operator="lessThan">
      <formula>0</formula>
    </cfRule>
  </conditionalFormatting>
  <conditionalFormatting sqref="K50:K51">
    <cfRule type="cellIs" dxfId="8071" priority="74" stopIfTrue="1" operator="lessThan">
      <formula>0</formula>
    </cfRule>
  </conditionalFormatting>
  <conditionalFormatting sqref="K50:K51">
    <cfRule type="cellIs" dxfId="8070" priority="73" stopIfTrue="1" operator="lessThan">
      <formula>0</formula>
    </cfRule>
  </conditionalFormatting>
  <conditionalFormatting sqref="K50:K51">
    <cfRule type="cellIs" dxfId="8069" priority="72" stopIfTrue="1" operator="lessThan">
      <formula>0</formula>
    </cfRule>
  </conditionalFormatting>
  <conditionalFormatting sqref="K50:K51">
    <cfRule type="expression" dxfId="8068" priority="71">
      <formula>$C50&lt;$E$3</formula>
    </cfRule>
  </conditionalFormatting>
  <conditionalFormatting sqref="K50:K51">
    <cfRule type="expression" dxfId="8067" priority="67">
      <formula>$C50=$E$3</formula>
    </cfRule>
    <cfRule type="expression" dxfId="8066" priority="68">
      <formula>$C50&lt;$E$3</formula>
    </cfRule>
    <cfRule type="cellIs" dxfId="8065" priority="69" operator="equal">
      <formula>0</formula>
    </cfRule>
    <cfRule type="expression" dxfId="8064" priority="70">
      <formula>$C50&gt;$E$3</formula>
    </cfRule>
  </conditionalFormatting>
  <conditionalFormatting sqref="K50:K51">
    <cfRule type="expression" dxfId="8063" priority="66">
      <formula>$C50&lt;$E$3</formula>
    </cfRule>
  </conditionalFormatting>
  <conditionalFormatting sqref="K50:K51">
    <cfRule type="expression" dxfId="8062" priority="62">
      <formula>$C50=$E$3</formula>
    </cfRule>
    <cfRule type="expression" dxfId="8061" priority="63">
      <formula>$C50&lt;$E$3</formula>
    </cfRule>
    <cfRule type="cellIs" dxfId="8060" priority="64" operator="equal">
      <formula>0</formula>
    </cfRule>
    <cfRule type="expression" dxfId="8059" priority="65">
      <formula>$C50&gt;$E$3</formula>
    </cfRule>
  </conditionalFormatting>
  <conditionalFormatting sqref="K50:K51">
    <cfRule type="expression" dxfId="8058" priority="61">
      <formula>$C50&lt;$E$3</formula>
    </cfRule>
  </conditionalFormatting>
  <conditionalFormatting sqref="K50:K51">
    <cfRule type="expression" dxfId="8057" priority="57">
      <formula>$C50=$E$3</formula>
    </cfRule>
    <cfRule type="expression" dxfId="8056" priority="58">
      <formula>$C50&lt;$E$3</formula>
    </cfRule>
    <cfRule type="cellIs" dxfId="8055" priority="59" operator="equal">
      <formula>0</formula>
    </cfRule>
    <cfRule type="expression" dxfId="8054" priority="60">
      <formula>$C50&gt;$E$3</formula>
    </cfRule>
  </conditionalFormatting>
  <conditionalFormatting sqref="K50:K51">
    <cfRule type="expression" dxfId="8053" priority="56">
      <formula>$C50&lt;$E$3</formula>
    </cfRule>
  </conditionalFormatting>
  <conditionalFormatting sqref="K50:K51">
    <cfRule type="expression" dxfId="8052" priority="52">
      <formula>$C50=$E$3</formula>
    </cfRule>
    <cfRule type="expression" dxfId="8051" priority="53">
      <formula>$C50&lt;$E$3</formula>
    </cfRule>
    <cfRule type="cellIs" dxfId="8050" priority="54" operator="equal">
      <formula>0</formula>
    </cfRule>
    <cfRule type="expression" dxfId="8049" priority="55">
      <formula>$C50&gt;$E$3</formula>
    </cfRule>
  </conditionalFormatting>
  <conditionalFormatting sqref="K50:K51">
    <cfRule type="expression" dxfId="8048" priority="51">
      <formula>$E50=""</formula>
    </cfRule>
  </conditionalFormatting>
  <conditionalFormatting sqref="K50:K51">
    <cfRule type="expression" dxfId="8047" priority="50">
      <formula>$C50&lt;$E$3</formula>
    </cfRule>
  </conditionalFormatting>
  <conditionalFormatting sqref="K50:K51">
    <cfRule type="expression" dxfId="8046" priority="49">
      <formula>$E50=""</formula>
    </cfRule>
  </conditionalFormatting>
  <conditionalFormatting sqref="K50:K51">
    <cfRule type="expression" dxfId="8045" priority="48">
      <formula>$E50=""</formula>
    </cfRule>
  </conditionalFormatting>
  <conditionalFormatting sqref="K50:K51">
    <cfRule type="expression" dxfId="8044" priority="47">
      <formula>$C50&lt;$E$3</formula>
    </cfRule>
  </conditionalFormatting>
  <conditionalFormatting sqref="K50:K51">
    <cfRule type="expression" dxfId="8043" priority="46">
      <formula>$E50=""</formula>
    </cfRule>
  </conditionalFormatting>
  <conditionalFormatting sqref="K50:K51">
    <cfRule type="expression" dxfId="8042" priority="45">
      <formula>$C50&lt;$E$3</formula>
    </cfRule>
  </conditionalFormatting>
  <conditionalFormatting sqref="K50:K51">
    <cfRule type="expression" dxfId="8041" priority="44">
      <formula>$E50=""</formula>
    </cfRule>
  </conditionalFormatting>
  <conditionalFormatting sqref="K50:K51">
    <cfRule type="expression" dxfId="8040" priority="43">
      <formula>$C50&lt;$E$3</formula>
    </cfRule>
  </conditionalFormatting>
  <conditionalFormatting sqref="K50:K51">
    <cfRule type="expression" dxfId="8039" priority="42">
      <formula>$E50=""</formula>
    </cfRule>
  </conditionalFormatting>
  <conditionalFormatting sqref="K50:K51">
    <cfRule type="expression" dxfId="8038" priority="41">
      <formula>$C50&lt;$E$3</formula>
    </cfRule>
  </conditionalFormatting>
  <conditionalFormatting sqref="K50:K51">
    <cfRule type="expression" dxfId="8037" priority="37">
      <formula>$C50=$E$3</formula>
    </cfRule>
    <cfRule type="expression" dxfId="8036" priority="38">
      <formula>$C50&lt;$E$3</formula>
    </cfRule>
    <cfRule type="cellIs" dxfId="8035" priority="39" operator="equal">
      <formula>0</formula>
    </cfRule>
    <cfRule type="expression" dxfId="8034" priority="40">
      <formula>$C50&gt;$E$3</formula>
    </cfRule>
  </conditionalFormatting>
  <conditionalFormatting sqref="K50:K51">
    <cfRule type="expression" dxfId="8033" priority="36">
      <formula>$C50&lt;$E$3</formula>
    </cfRule>
  </conditionalFormatting>
  <conditionalFormatting sqref="K50:K51">
    <cfRule type="expression" dxfId="8032" priority="32">
      <formula>$C50=$E$3</formula>
    </cfRule>
    <cfRule type="expression" dxfId="8031" priority="33">
      <formula>$C50&lt;$E$3</formula>
    </cfRule>
    <cfRule type="cellIs" dxfId="8030" priority="34" operator="equal">
      <formula>0</formula>
    </cfRule>
    <cfRule type="expression" dxfId="8029" priority="35">
      <formula>$C50&gt;$E$3</formula>
    </cfRule>
  </conditionalFormatting>
  <conditionalFormatting sqref="K50:K51">
    <cfRule type="expression" dxfId="8028" priority="31">
      <formula>$C50&lt;$E$3</formula>
    </cfRule>
  </conditionalFormatting>
  <conditionalFormatting sqref="K50:K51">
    <cfRule type="expression" dxfId="8027" priority="27">
      <formula>$C50=$E$3</formula>
    </cfRule>
    <cfRule type="expression" dxfId="8026" priority="28">
      <formula>$C50&lt;$E$3</formula>
    </cfRule>
    <cfRule type="cellIs" dxfId="8025" priority="29" operator="equal">
      <formula>0</formula>
    </cfRule>
    <cfRule type="expression" dxfId="8024" priority="30">
      <formula>$C50&gt;$E$3</formula>
    </cfRule>
  </conditionalFormatting>
  <conditionalFormatting sqref="K50:K51">
    <cfRule type="expression" dxfId="8023" priority="26">
      <formula>$C50&lt;$E$3</formula>
    </cfRule>
  </conditionalFormatting>
  <conditionalFormatting sqref="K50:K51">
    <cfRule type="expression" dxfId="8022" priority="22">
      <formula>$C50=$E$3</formula>
    </cfRule>
    <cfRule type="expression" dxfId="8021" priority="23">
      <formula>$C50&lt;$E$3</formula>
    </cfRule>
    <cfRule type="cellIs" dxfId="8020" priority="24" operator="equal">
      <formula>0</formula>
    </cfRule>
    <cfRule type="expression" dxfId="8019" priority="25">
      <formula>$C50&gt;$E$3</formula>
    </cfRule>
  </conditionalFormatting>
  <conditionalFormatting sqref="K50:K51">
    <cfRule type="expression" dxfId="8018" priority="21">
      <formula>$E50=""</formula>
    </cfRule>
  </conditionalFormatting>
  <conditionalFormatting sqref="K50:K51">
    <cfRule type="expression" dxfId="8017" priority="20">
      <formula>$C50&lt;$E$3</formula>
    </cfRule>
  </conditionalFormatting>
  <conditionalFormatting sqref="K50:K51">
    <cfRule type="expression" dxfId="8016" priority="19">
      <formula>$E50=""</formula>
    </cfRule>
  </conditionalFormatting>
  <conditionalFormatting sqref="K50:K51">
    <cfRule type="expression" dxfId="8015" priority="18">
      <formula>$E50=""</formula>
    </cfRule>
  </conditionalFormatting>
  <conditionalFormatting sqref="K50:K51">
    <cfRule type="expression" dxfId="8014" priority="17">
      <formula>$C50&lt;$E$3</formula>
    </cfRule>
  </conditionalFormatting>
  <conditionalFormatting sqref="K50:K51">
    <cfRule type="expression" dxfId="8013" priority="16">
      <formula>$E50=""</formula>
    </cfRule>
  </conditionalFormatting>
  <conditionalFormatting sqref="K50:K51">
    <cfRule type="expression" dxfId="8012" priority="15">
      <formula>$C50&lt;$E$3</formula>
    </cfRule>
  </conditionalFormatting>
  <conditionalFormatting sqref="K50:K51">
    <cfRule type="expression" dxfId="8011" priority="14">
      <formula>$E50=""</formula>
    </cfRule>
  </conditionalFormatting>
  <conditionalFormatting sqref="K50:K51">
    <cfRule type="expression" dxfId="8010" priority="13">
      <formula>$C50&lt;$E$3</formula>
    </cfRule>
  </conditionalFormatting>
  <conditionalFormatting sqref="K50:K51">
    <cfRule type="expression" dxfId="8009" priority="12">
      <formula>$E50=""</formula>
    </cfRule>
  </conditionalFormatting>
  <conditionalFormatting sqref="K50:K51">
    <cfRule type="expression" dxfId="8008" priority="10">
      <formula>$C50&lt;$E$3</formula>
    </cfRule>
  </conditionalFormatting>
  <conditionalFormatting sqref="K50:K51">
    <cfRule type="expression" dxfId="8007" priority="7">
      <formula>$C50=$E$3</formula>
    </cfRule>
    <cfRule type="expression" dxfId="8006" priority="8">
      <formula>$C50&lt;$E$3</formula>
    </cfRule>
    <cfRule type="cellIs" dxfId="8005" priority="9" operator="equal">
      <formula>0</formula>
    </cfRule>
    <cfRule type="expression" dxfId="8004" priority="11">
      <formula>$C50&gt;$E$3</formula>
    </cfRule>
  </conditionalFormatting>
  <conditionalFormatting sqref="K50:K51">
    <cfRule type="expression" dxfId="8003" priority="6">
      <formula>$E50=""</formula>
    </cfRule>
  </conditionalFormatting>
  <conditionalFormatting sqref="K50:K51">
    <cfRule type="expression" dxfId="8002" priority="5">
      <formula>$E50=""</formula>
    </cfRule>
  </conditionalFormatting>
  <conditionalFormatting sqref="K50:K51">
    <cfRule type="expression" dxfId="8001" priority="4">
      <formula>$E50=""</formula>
    </cfRule>
  </conditionalFormatting>
  <conditionalFormatting sqref="V50:W51 V5:W20 V23:W29 V32:W38 V41:W47">
    <cfRule type="cellIs" dxfId="8000" priority="1" stopIfTrue="1" operator="lessThan">
      <formula>0</formula>
    </cfRule>
  </conditionalFormatting>
  <conditionalFormatting sqref="Q4:Q51 R5:R11 R14:R20 R23:R29 R32:R38 R41:R47 R50:R51 T50:U51 T41:U47 T32:U38 T23:U29 T14:U20 T5:U11">
    <cfRule type="cellIs" dxfId="7999" priority="2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BB66"/>
  <sheetViews>
    <sheetView zoomScale="75" zoomScaleNormal="75" zoomScalePageLayoutView="75" workbookViewId="0">
      <pane ySplit="4" topLeftCell="A5" activePane="bottomLeft" state="frozen"/>
      <selection activeCell="D1" sqref="D1"/>
      <selection pane="bottomLeft" activeCell="F35" sqref="F35"/>
    </sheetView>
  </sheetViews>
  <sheetFormatPr baseColWidth="10" defaultColWidth="8.83203125" defaultRowHeight="15" x14ac:dyDescent="0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.1640625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5" ht="53.25" customHeight="1" thickBot="1">
      <c r="A1" s="52">
        <v>6</v>
      </c>
      <c r="B1" s="50" t="s">
        <v>0</v>
      </c>
      <c r="C1" s="51" t="s">
        <v>0</v>
      </c>
      <c r="D1" s="51"/>
      <c r="E1" s="363" t="str">
        <f>VLOOKUP(A1,'MY STATS'!$B$29:$E$40,4)</f>
        <v>Jun.</v>
      </c>
      <c r="F1" s="141" t="s">
        <v>78</v>
      </c>
      <c r="G1" s="142" t="s">
        <v>77</v>
      </c>
      <c r="H1" s="143" t="s">
        <v>79</v>
      </c>
      <c r="I1" s="144"/>
      <c r="J1" s="144" t="s">
        <v>113</v>
      </c>
      <c r="K1" s="127" t="s">
        <v>109</v>
      </c>
      <c r="L1" s="142" t="s">
        <v>114</v>
      </c>
      <c r="M1" s="127" t="s">
        <v>110</v>
      </c>
      <c r="N1" s="321" t="s">
        <v>59</v>
      </c>
      <c r="O1" s="244" t="s">
        <v>31</v>
      </c>
      <c r="P1" s="250" t="s">
        <v>32</v>
      </c>
      <c r="Q1" s="250" t="s">
        <v>32</v>
      </c>
      <c r="R1" s="343" t="s">
        <v>38</v>
      </c>
      <c r="S1" s="364" t="s">
        <v>149</v>
      </c>
      <c r="T1" s="343"/>
      <c r="U1" s="343"/>
      <c r="V1" s="343" t="s">
        <v>107</v>
      </c>
      <c r="W1" s="343" t="s">
        <v>108</v>
      </c>
      <c r="X1" s="250" t="s">
        <v>30</v>
      </c>
      <c r="Y1" s="250" t="s">
        <v>27</v>
      </c>
      <c r="Z1" s="250" t="s">
        <v>28</v>
      </c>
      <c r="AA1" s="344" t="s">
        <v>29</v>
      </c>
      <c r="AB1" s="230"/>
      <c r="AC1" s="97"/>
      <c r="AD1" s="97"/>
      <c r="AE1" s="97"/>
      <c r="AF1" s="97"/>
      <c r="AG1" s="97"/>
      <c r="AH1" s="97"/>
      <c r="AI1" s="97"/>
    </row>
    <row r="2" spans="1:35" ht="32" hidden="1" thickTop="1" thickBot="1">
      <c r="A2" s="95" t="s">
        <v>75</v>
      </c>
      <c r="B2" s="25">
        <f>VLOOKUP(A1,'MY STATS'!$B$29:$G$40,3)</f>
        <v>43252</v>
      </c>
      <c r="D2" s="45"/>
      <c r="E2" s="2" t="s">
        <v>19</v>
      </c>
      <c r="F2" s="95" t="s">
        <v>74</v>
      </c>
      <c r="G2" s="93" t="s">
        <v>61</v>
      </c>
      <c r="H2" s="64" t="s">
        <v>60</v>
      </c>
      <c r="I2" s="64"/>
      <c r="J2" s="64"/>
      <c r="K2" s="64"/>
      <c r="L2" s="64"/>
      <c r="M2" s="64"/>
      <c r="N2" s="322"/>
      <c r="O2" s="345"/>
      <c r="P2" s="230"/>
      <c r="Q2" s="230"/>
      <c r="R2" s="346">
        <f>'MY STATS'!A15</f>
        <v>1</v>
      </c>
      <c r="S2" s="346"/>
      <c r="T2" s="346"/>
      <c r="U2" s="346"/>
      <c r="V2" s="346"/>
      <c r="W2" s="346"/>
      <c r="X2" s="230"/>
      <c r="Y2" s="230"/>
      <c r="Z2" s="234"/>
      <c r="AA2" s="234"/>
      <c r="AB2" s="230"/>
      <c r="AC2" s="97"/>
      <c r="AD2" s="97"/>
      <c r="AE2" s="97"/>
      <c r="AF2" s="97"/>
      <c r="AG2" s="97"/>
      <c r="AH2" s="97"/>
      <c r="AI2" s="97"/>
    </row>
    <row r="3" spans="1:35" ht="17" hidden="1" thickTop="1" thickBot="1">
      <c r="A3" s="96">
        <f>'MY STATS'!D41</f>
        <v>43466</v>
      </c>
      <c r="B3" s="25">
        <f>VLOOKUP(A1+1,'MY STATS'!$B$29:$G$41,3)-1</f>
        <v>43281</v>
      </c>
      <c r="C3" s="25">
        <f>VLOOKUP(A1,'MY STATS'!$B$29:$G$40,2)</f>
        <v>43248</v>
      </c>
      <c r="D3" s="46"/>
      <c r="E3" s="4">
        <f ca="1">TODAY()</f>
        <v>43138</v>
      </c>
      <c r="F3" s="65">
        <f>'MY STATS'!B$11</f>
        <v>587410.55929510726</v>
      </c>
      <c r="G3" s="65">
        <f>VLOOKUP(A1-1,'MY STATS'!B$28:J$40,9)</f>
        <v>0</v>
      </c>
      <c r="H3" s="66">
        <f>VLOOKUP($A$1-1,'MY STATS'!$B$28:$I$41,8)</f>
        <v>0</v>
      </c>
      <c r="I3" s="66"/>
      <c r="J3" s="66"/>
      <c r="K3" s="66"/>
      <c r="L3" s="65"/>
      <c r="M3" s="65"/>
      <c r="N3" s="323"/>
      <c r="O3" s="345"/>
      <c r="P3" s="230"/>
      <c r="Q3" s="230"/>
      <c r="R3" s="346"/>
      <c r="S3" s="346"/>
      <c r="T3" s="346"/>
      <c r="U3" s="346"/>
      <c r="V3" s="346"/>
      <c r="W3" s="346"/>
      <c r="X3" s="230"/>
      <c r="Y3" s="230"/>
      <c r="Z3" s="234"/>
      <c r="AA3" s="234"/>
      <c r="AB3" s="230"/>
      <c r="AC3" s="97"/>
      <c r="AD3" s="97"/>
      <c r="AE3" s="97"/>
      <c r="AF3" s="97"/>
      <c r="AG3" s="97"/>
      <c r="AH3" s="97"/>
      <c r="AI3" s="97"/>
    </row>
    <row r="4" spans="1:35" ht="14" hidden="1" customHeight="1" thickTop="1" thickBot="1">
      <c r="A4" s="3"/>
      <c r="C4" s="37">
        <f>C3-1</f>
        <v>43247</v>
      </c>
      <c r="D4" s="3"/>
      <c r="O4" s="347"/>
      <c r="P4" s="260">
        <f t="shared" ref="P4:P11" si="0">H$56</f>
        <v>82349.027466753847</v>
      </c>
      <c r="Q4" s="169">
        <f>IF(R$2=3,P4,IF(R$2=2,P4*1.0936,IF(R$2=1,P4*0.000568181818*1.0936133,"")))</f>
        <v>51.169313438004977</v>
      </c>
      <c r="R4" s="246"/>
      <c r="S4" s="246"/>
      <c r="T4" s="246"/>
      <c r="U4" s="246"/>
      <c r="V4" s="246"/>
      <c r="W4" s="246"/>
      <c r="X4" s="260"/>
      <c r="Y4" s="260"/>
      <c r="Z4" s="259">
        <v>0</v>
      </c>
      <c r="AA4" s="234"/>
      <c r="AB4" s="230">
        <v>0</v>
      </c>
      <c r="AC4" s="97"/>
      <c r="AD4" s="97"/>
      <c r="AE4" s="97"/>
      <c r="AF4" s="97"/>
      <c r="AG4" s="97"/>
      <c r="AH4" s="97"/>
      <c r="AI4" s="97"/>
    </row>
    <row r="5" spans="1:35" ht="16" thickTop="1">
      <c r="A5" s="26" t="s">
        <v>8</v>
      </c>
      <c r="B5" s="23">
        <f>IF(B$2&gt;C5,0,C5)</f>
        <v>0</v>
      </c>
      <c r="C5" s="37">
        <f>C3</f>
        <v>43248</v>
      </c>
      <c r="D5" s="24">
        <f t="shared" ref="D5:D51" ca="1" si="1">TODAY()-C5</f>
        <v>-110</v>
      </c>
      <c r="E5" s="115" t="str">
        <f>IF(B5=0,"","Monday")</f>
        <v/>
      </c>
      <c r="F5" s="55"/>
      <c r="G5" s="56"/>
      <c r="H5" s="56"/>
      <c r="I5" s="199"/>
      <c r="J5" s="56"/>
      <c r="K5" s="201" t="str">
        <f t="shared" ref="K5" si="2">IF(R5=0,"",IF(L5="","",J5))</f>
        <v/>
      </c>
      <c r="L5" s="56"/>
      <c r="M5" s="56" t="str">
        <f>IF(R5=0,"",IF(J5="","",L5))</f>
        <v/>
      </c>
      <c r="N5" s="324"/>
      <c r="O5" s="259" t="str">
        <f t="shared" ref="O5:O51" si="3">IF(B5=0,"",(F$3-G$3)/(A$3-B$2)+0.1)</f>
        <v/>
      </c>
      <c r="P5" s="260">
        <f t="shared" si="0"/>
        <v>82349.027466753847</v>
      </c>
      <c r="Q5" s="169">
        <f t="shared" ref="Q5:Q51" si="4">IF(R$2=3,P5,IF(R$2=2,P5*1.0936,IF(R$2=1,P5*0.000568181818*1.0936133,"")))</f>
        <v>51.169313438004977</v>
      </c>
      <c r="R5" s="169">
        <f>IF(R$2=3,H5+G5/1.0936133+F5/0.0006213712,IF(R$2=2,H5*1.0936133+G5+F5/0.0005681818,IF(R$2=1,H5*0.0005681818*1.0936133+G5*0.0005681818+F5,"")))</f>
        <v>0</v>
      </c>
      <c r="S5" s="368" t="str">
        <f>IF(R5=0,"",R5*IF(L5&gt;0,1,0))</f>
        <v/>
      </c>
      <c r="T5" s="169"/>
      <c r="U5" s="169"/>
      <c r="V5" s="170" t="str">
        <f t="shared" ref="V5:V11" si="5">IF(L5="","",IF(R5=0,"",IF(B5=0,"",IF($R$2=3,R5/L5*60/1000,IF($R$2=2,R5/L5*60/1760,IF($R$2=1,R5/L5*60,""))))))</f>
        <v/>
      </c>
      <c r="W5" s="170" t="str">
        <f t="shared" ref="W5:W11" si="6">IF(R5=0,"",IF(L5="","",V5*L5))</f>
        <v/>
      </c>
      <c r="X5" s="259">
        <f t="shared" ref="X5:Z11" si="7">F5+X4</f>
        <v>0</v>
      </c>
      <c r="Y5" s="259">
        <f t="shared" si="7"/>
        <v>0</v>
      </c>
      <c r="Z5" s="259">
        <f t="shared" si="7"/>
        <v>0</v>
      </c>
      <c r="AA5" s="348">
        <f t="shared" ref="AA5:AA51" si="8">Z5/1000+Y5/1093.6133+X5/0.621371192</f>
        <v>0</v>
      </c>
      <c r="AB5" s="349">
        <f>R5</f>
        <v>0</v>
      </c>
      <c r="AC5" s="97"/>
      <c r="AD5" s="97"/>
      <c r="AE5" s="97"/>
      <c r="AF5" s="97"/>
      <c r="AG5" s="97"/>
      <c r="AH5" s="97"/>
      <c r="AI5" s="97"/>
    </row>
    <row r="6" spans="1:35">
      <c r="A6" s="27"/>
      <c r="B6" s="5">
        <f t="shared" ref="B6:B11" si="9">IF(B$2&gt;C6,0,C6)</f>
        <v>0</v>
      </c>
      <c r="C6" s="38">
        <f>C3+1</f>
        <v>43249</v>
      </c>
      <c r="D6" s="7">
        <f t="shared" ca="1" si="1"/>
        <v>-111</v>
      </c>
      <c r="E6" s="114" t="str">
        <f>IF(B6=0,"","Tuesday")</f>
        <v/>
      </c>
      <c r="F6" s="55"/>
      <c r="G6" s="56"/>
      <c r="H6" s="56"/>
      <c r="I6" s="200"/>
      <c r="J6" s="56"/>
      <c r="K6" s="201" t="str">
        <f>IF(R6=0,"",IF(L6="","",J6))</f>
        <v/>
      </c>
      <c r="L6" s="56"/>
      <c r="M6" s="56" t="str">
        <f t="shared" ref="M6:M11" si="10">IF(R6=0,"",IF(J6="","",L6))</f>
        <v/>
      </c>
      <c r="N6" s="324"/>
      <c r="O6" s="259" t="str">
        <f t="shared" si="3"/>
        <v/>
      </c>
      <c r="P6" s="260">
        <f t="shared" si="0"/>
        <v>82349.027466753847</v>
      </c>
      <c r="Q6" s="169">
        <f t="shared" si="4"/>
        <v>51.169313438004977</v>
      </c>
      <c r="R6" s="169">
        <f t="shared" ref="R6:R11" si="11">IF(R$2=3,H6+G6/1.0936133+F6/0.0006213712,IF(R$2=2,H6*1.0936133+G6+F6/0.0005681818,IF(R$2=1,H6*0.0005681818*1.0936133+G6*0.0005681818+F6,"")))</f>
        <v>0</v>
      </c>
      <c r="S6" s="368" t="str">
        <f t="shared" ref="S6:S51" si="12">IF(R6=0,"",R6*IF(L6&gt;0,1,0))</f>
        <v/>
      </c>
      <c r="T6" s="169"/>
      <c r="U6" s="169"/>
      <c r="V6" s="170" t="str">
        <f t="shared" si="5"/>
        <v/>
      </c>
      <c r="W6" s="170" t="str">
        <f t="shared" si="6"/>
        <v/>
      </c>
      <c r="X6" s="259">
        <f t="shared" si="7"/>
        <v>0</v>
      </c>
      <c r="Y6" s="259">
        <f t="shared" si="7"/>
        <v>0</v>
      </c>
      <c r="Z6" s="259">
        <f t="shared" si="7"/>
        <v>0</v>
      </c>
      <c r="AA6" s="348">
        <f t="shared" si="8"/>
        <v>0</v>
      </c>
      <c r="AB6" s="274">
        <f t="shared" ref="AB6:AB51" si="13">AB5+R6</f>
        <v>0</v>
      </c>
      <c r="AC6" s="97"/>
      <c r="AD6" s="97"/>
      <c r="AE6" s="97"/>
      <c r="AF6" s="97"/>
      <c r="AG6" s="97"/>
      <c r="AH6" s="97"/>
      <c r="AI6" s="97"/>
    </row>
    <row r="7" spans="1:35">
      <c r="A7" s="27"/>
      <c r="B7" s="5">
        <f t="shared" si="9"/>
        <v>0</v>
      </c>
      <c r="C7" s="38">
        <f>C3+2</f>
        <v>43250</v>
      </c>
      <c r="D7" s="7">
        <f t="shared" ca="1" si="1"/>
        <v>-112</v>
      </c>
      <c r="E7" s="114" t="str">
        <f>IF(B7=0,"","Wednesday")</f>
        <v/>
      </c>
      <c r="F7" s="55"/>
      <c r="G7" s="56"/>
      <c r="H7" s="56"/>
      <c r="I7" s="200"/>
      <c r="J7" s="56"/>
      <c r="K7" s="201" t="str">
        <f t="shared" ref="K7:K11" si="14">IF(R7=0,"",IF(L7="","",J7))</f>
        <v/>
      </c>
      <c r="L7" s="56"/>
      <c r="M7" s="56" t="str">
        <f t="shared" si="10"/>
        <v/>
      </c>
      <c r="N7" s="325"/>
      <c r="O7" s="259" t="str">
        <f t="shared" si="3"/>
        <v/>
      </c>
      <c r="P7" s="260">
        <f t="shared" si="0"/>
        <v>82349.027466753847</v>
      </c>
      <c r="Q7" s="169">
        <f t="shared" si="4"/>
        <v>51.169313438004977</v>
      </c>
      <c r="R7" s="169">
        <f t="shared" si="11"/>
        <v>0</v>
      </c>
      <c r="S7" s="368" t="str">
        <f t="shared" si="12"/>
        <v/>
      </c>
      <c r="T7" s="169"/>
      <c r="U7" s="169"/>
      <c r="V7" s="170" t="str">
        <f t="shared" si="5"/>
        <v/>
      </c>
      <c r="W7" s="170" t="str">
        <f t="shared" si="6"/>
        <v/>
      </c>
      <c r="X7" s="259">
        <f t="shared" si="7"/>
        <v>0</v>
      </c>
      <c r="Y7" s="259">
        <f t="shared" si="7"/>
        <v>0</v>
      </c>
      <c r="Z7" s="259">
        <f t="shared" si="7"/>
        <v>0</v>
      </c>
      <c r="AA7" s="348">
        <f t="shared" si="8"/>
        <v>0</v>
      </c>
      <c r="AB7" s="274">
        <f t="shared" si="13"/>
        <v>0</v>
      </c>
      <c r="AC7" s="97"/>
      <c r="AD7" s="97"/>
      <c r="AE7" s="97"/>
      <c r="AF7" s="97"/>
      <c r="AG7" s="97"/>
      <c r="AH7" s="97"/>
      <c r="AI7" s="97"/>
    </row>
    <row r="8" spans="1:35">
      <c r="A8" s="27"/>
      <c r="B8" s="5">
        <f t="shared" si="9"/>
        <v>0</v>
      </c>
      <c r="C8" s="38">
        <f>C3+3</f>
        <v>43251</v>
      </c>
      <c r="D8" s="7">
        <f t="shared" ca="1" si="1"/>
        <v>-113</v>
      </c>
      <c r="E8" s="114" t="str">
        <f>IF(B8=0,"","Thursday")</f>
        <v/>
      </c>
      <c r="F8" s="55"/>
      <c r="G8" s="56"/>
      <c r="H8" s="56"/>
      <c r="I8" s="200"/>
      <c r="J8" s="56"/>
      <c r="K8" s="201" t="str">
        <f t="shared" si="14"/>
        <v/>
      </c>
      <c r="L8" s="56"/>
      <c r="M8" s="56" t="str">
        <f t="shared" si="10"/>
        <v/>
      </c>
      <c r="N8" s="325"/>
      <c r="O8" s="259" t="str">
        <f t="shared" si="3"/>
        <v/>
      </c>
      <c r="P8" s="260">
        <f t="shared" si="0"/>
        <v>82349.027466753847</v>
      </c>
      <c r="Q8" s="169">
        <f t="shared" si="4"/>
        <v>51.169313438004977</v>
      </c>
      <c r="R8" s="169">
        <f t="shared" si="11"/>
        <v>0</v>
      </c>
      <c r="S8" s="368" t="str">
        <f t="shared" si="12"/>
        <v/>
      </c>
      <c r="T8" s="169"/>
      <c r="U8" s="169"/>
      <c r="V8" s="170" t="str">
        <f t="shared" si="5"/>
        <v/>
      </c>
      <c r="W8" s="170" t="str">
        <f t="shared" si="6"/>
        <v/>
      </c>
      <c r="X8" s="259">
        <f t="shared" si="7"/>
        <v>0</v>
      </c>
      <c r="Y8" s="259">
        <f t="shared" si="7"/>
        <v>0</v>
      </c>
      <c r="Z8" s="259">
        <f t="shared" si="7"/>
        <v>0</v>
      </c>
      <c r="AA8" s="348">
        <f t="shared" si="8"/>
        <v>0</v>
      </c>
      <c r="AB8" s="274">
        <f t="shared" si="13"/>
        <v>0</v>
      </c>
      <c r="AC8" s="97"/>
      <c r="AD8" s="97"/>
      <c r="AE8" s="97"/>
      <c r="AF8" s="97"/>
      <c r="AG8" s="97"/>
      <c r="AH8" s="97"/>
      <c r="AI8" s="97"/>
    </row>
    <row r="9" spans="1:35">
      <c r="A9" s="27"/>
      <c r="B9" s="5">
        <f t="shared" si="9"/>
        <v>43252</v>
      </c>
      <c r="C9" s="38">
        <f>C3+4</f>
        <v>43252</v>
      </c>
      <c r="D9" s="7">
        <f t="shared" ca="1" si="1"/>
        <v>-114</v>
      </c>
      <c r="E9" s="114" t="str">
        <f>IF(B9=0,"","Friday")</f>
        <v>Friday</v>
      </c>
      <c r="F9" s="55"/>
      <c r="G9" s="56"/>
      <c r="H9" s="56"/>
      <c r="I9" s="200"/>
      <c r="J9" s="56"/>
      <c r="K9" s="201" t="str">
        <f t="shared" si="14"/>
        <v/>
      </c>
      <c r="L9" s="56"/>
      <c r="M9" s="56" t="str">
        <f t="shared" si="10"/>
        <v/>
      </c>
      <c r="N9" s="324"/>
      <c r="O9" s="259">
        <f t="shared" si="3"/>
        <v>2745.0091555846134</v>
      </c>
      <c r="P9" s="260">
        <f t="shared" si="0"/>
        <v>82349.027466753847</v>
      </c>
      <c r="Q9" s="169">
        <f t="shared" si="4"/>
        <v>51.169313438004977</v>
      </c>
      <c r="R9" s="169">
        <f t="shared" si="11"/>
        <v>0</v>
      </c>
      <c r="S9" s="368" t="str">
        <f t="shared" si="12"/>
        <v/>
      </c>
      <c r="T9" s="169"/>
      <c r="U9" s="169"/>
      <c r="V9" s="170" t="str">
        <f t="shared" si="5"/>
        <v/>
      </c>
      <c r="W9" s="170" t="str">
        <f t="shared" si="6"/>
        <v/>
      </c>
      <c r="X9" s="259">
        <f t="shared" si="7"/>
        <v>0</v>
      </c>
      <c r="Y9" s="259">
        <f t="shared" si="7"/>
        <v>0</v>
      </c>
      <c r="Z9" s="259">
        <f t="shared" si="7"/>
        <v>0</v>
      </c>
      <c r="AA9" s="348">
        <f t="shared" si="8"/>
        <v>0</v>
      </c>
      <c r="AB9" s="274">
        <f t="shared" si="13"/>
        <v>0</v>
      </c>
      <c r="AC9" s="97"/>
      <c r="AD9" s="97"/>
      <c r="AE9" s="97"/>
      <c r="AF9" s="97"/>
      <c r="AG9" s="97"/>
      <c r="AH9" s="97"/>
      <c r="AI9" s="97"/>
    </row>
    <row r="10" spans="1:35">
      <c r="A10" s="27"/>
      <c r="B10" s="5">
        <f t="shared" si="9"/>
        <v>43253</v>
      </c>
      <c r="C10" s="38">
        <f>C3+5</f>
        <v>43253</v>
      </c>
      <c r="D10" s="7">
        <f t="shared" ca="1" si="1"/>
        <v>-115</v>
      </c>
      <c r="E10" s="114" t="str">
        <f>IF(B10=0,"","Saturday")</f>
        <v>Saturday</v>
      </c>
      <c r="F10" s="55"/>
      <c r="G10" s="56"/>
      <c r="H10" s="56"/>
      <c r="I10" s="200"/>
      <c r="J10" s="56"/>
      <c r="K10" s="201" t="str">
        <f t="shared" si="14"/>
        <v/>
      </c>
      <c r="L10" s="56"/>
      <c r="M10" s="56" t="str">
        <f t="shared" si="10"/>
        <v/>
      </c>
      <c r="N10" s="324"/>
      <c r="O10" s="259">
        <f t="shared" si="3"/>
        <v>2745.0091555846134</v>
      </c>
      <c r="P10" s="260">
        <f t="shared" si="0"/>
        <v>82349.027466753847</v>
      </c>
      <c r="Q10" s="169">
        <f t="shared" si="4"/>
        <v>51.169313438004977</v>
      </c>
      <c r="R10" s="169">
        <f t="shared" si="11"/>
        <v>0</v>
      </c>
      <c r="S10" s="368" t="str">
        <f t="shared" si="12"/>
        <v/>
      </c>
      <c r="T10" s="169"/>
      <c r="U10" s="169"/>
      <c r="V10" s="170" t="str">
        <f t="shared" si="5"/>
        <v/>
      </c>
      <c r="W10" s="170" t="str">
        <f t="shared" si="6"/>
        <v/>
      </c>
      <c r="X10" s="259">
        <f t="shared" si="7"/>
        <v>0</v>
      </c>
      <c r="Y10" s="259">
        <f t="shared" si="7"/>
        <v>0</v>
      </c>
      <c r="Z10" s="259">
        <f t="shared" si="7"/>
        <v>0</v>
      </c>
      <c r="AA10" s="348">
        <f t="shared" si="8"/>
        <v>0</v>
      </c>
      <c r="AB10" s="274">
        <f t="shared" si="13"/>
        <v>0</v>
      </c>
      <c r="AC10" s="97"/>
      <c r="AD10" s="97"/>
      <c r="AE10" s="97"/>
      <c r="AF10" s="97"/>
      <c r="AG10" s="97"/>
      <c r="AH10" s="97"/>
      <c r="AI10" s="97"/>
    </row>
    <row r="11" spans="1:35" ht="16" thickBot="1">
      <c r="A11" s="27"/>
      <c r="B11" s="53">
        <f t="shared" si="9"/>
        <v>43254</v>
      </c>
      <c r="C11" s="41">
        <f>C3+6</f>
        <v>43254</v>
      </c>
      <c r="D11" s="54">
        <f t="shared" ca="1" si="1"/>
        <v>-116</v>
      </c>
      <c r="E11" s="117" t="str">
        <f>IF(B11=0,"","Sunday")</f>
        <v>Sunday</v>
      </c>
      <c r="F11" s="55"/>
      <c r="G11" s="56"/>
      <c r="H11" s="56"/>
      <c r="I11" s="200"/>
      <c r="J11" s="56"/>
      <c r="K11" s="201" t="str">
        <f t="shared" si="14"/>
        <v/>
      </c>
      <c r="L11" s="56"/>
      <c r="M11" s="56" t="str">
        <f t="shared" si="10"/>
        <v/>
      </c>
      <c r="N11" s="326"/>
      <c r="O11" s="259">
        <f t="shared" si="3"/>
        <v>2745.0091555846134</v>
      </c>
      <c r="P11" s="260">
        <f t="shared" si="0"/>
        <v>82349.027466753847</v>
      </c>
      <c r="Q11" s="169">
        <f t="shared" si="4"/>
        <v>51.169313438004977</v>
      </c>
      <c r="R11" s="169">
        <f t="shared" si="11"/>
        <v>0</v>
      </c>
      <c r="S11" s="368" t="str">
        <f t="shared" si="12"/>
        <v/>
      </c>
      <c r="T11" s="169"/>
      <c r="U11" s="169"/>
      <c r="V11" s="170" t="str">
        <f t="shared" si="5"/>
        <v/>
      </c>
      <c r="W11" s="170" t="str">
        <f t="shared" si="6"/>
        <v/>
      </c>
      <c r="X11" s="259">
        <f t="shared" si="7"/>
        <v>0</v>
      </c>
      <c r="Y11" s="259">
        <f t="shared" si="7"/>
        <v>0</v>
      </c>
      <c r="Z11" s="259">
        <f t="shared" si="7"/>
        <v>0</v>
      </c>
      <c r="AA11" s="348">
        <f t="shared" si="8"/>
        <v>0</v>
      </c>
      <c r="AB11" s="274">
        <f t="shared" si="13"/>
        <v>0</v>
      </c>
      <c r="AC11" s="97"/>
      <c r="AD11" s="97"/>
      <c r="AE11" s="97"/>
      <c r="AF11" s="97"/>
      <c r="AG11" s="97"/>
      <c r="AH11" s="97"/>
      <c r="AI11" s="97"/>
    </row>
    <row r="12" spans="1:35" ht="16" thickTop="1">
      <c r="A12" s="29"/>
      <c r="B12" s="16"/>
      <c r="C12" s="42"/>
      <c r="D12" s="60">
        <f ca="1">TODAY()-C12</f>
        <v>43138</v>
      </c>
      <c r="E12" s="113" t="s">
        <v>76</v>
      </c>
      <c r="F12" s="59">
        <f ca="1">G12*0.000568181818</f>
        <v>0</v>
      </c>
      <c r="G12" s="19">
        <f ca="1">H12*1.0936113</f>
        <v>0</v>
      </c>
      <c r="H12" s="129">
        <f ca="1">IF(TODAY()&gt;=B5,AA11*1000,-2E-55)</f>
        <v>0</v>
      </c>
      <c r="I12" s="135"/>
      <c r="J12" s="443" t="s">
        <v>121</v>
      </c>
      <c r="K12" s="444"/>
      <c r="L12" s="444"/>
      <c r="M12" s="444"/>
      <c r="N12" s="444"/>
      <c r="O12" s="259" t="str">
        <f t="shared" si="3"/>
        <v/>
      </c>
      <c r="P12" s="260"/>
      <c r="Q12" s="169">
        <f t="shared" si="4"/>
        <v>0</v>
      </c>
      <c r="R12" s="350"/>
      <c r="S12" s="368" t="str">
        <f t="shared" si="12"/>
        <v/>
      </c>
      <c r="T12" s="350"/>
      <c r="U12" s="350"/>
      <c r="V12" s="350"/>
      <c r="W12" s="350"/>
      <c r="X12" s="260"/>
      <c r="Y12" s="260"/>
      <c r="Z12" s="234"/>
      <c r="AA12" s="348">
        <f t="shared" si="8"/>
        <v>0</v>
      </c>
      <c r="AB12" s="274">
        <f t="shared" si="13"/>
        <v>0</v>
      </c>
      <c r="AC12" s="97"/>
      <c r="AD12" s="97"/>
      <c r="AE12" s="97"/>
      <c r="AF12" s="97"/>
      <c r="AG12" s="97"/>
      <c r="AH12" s="97"/>
      <c r="AI12" s="97"/>
    </row>
    <row r="13" spans="1:35" ht="16" thickBot="1">
      <c r="A13" s="28"/>
      <c r="B13" s="17"/>
      <c r="C13" s="39"/>
      <c r="D13" s="61">
        <f ca="1">TODAY()-C13</f>
        <v>43138</v>
      </c>
      <c r="E13" s="116" t="s">
        <v>33</v>
      </c>
      <c r="F13" s="62">
        <f>G13*0.0005681818</f>
        <v>5.1169993211721385</v>
      </c>
      <c r="G13" s="63">
        <f>H13*1.0936113</f>
        <v>9005.919093452374</v>
      </c>
      <c r="H13" s="130">
        <f>SUM($O5:$O11)</f>
        <v>8235.0274667538397</v>
      </c>
      <c r="I13" s="136"/>
      <c r="J13" s="445" t="str">
        <f>IF(R$2=1,"MILES &amp; mph",IF(R$2=2,"YARDS &amp; mph",IF(R$2=3,"METRES &amp; km/h","????")))</f>
        <v>MILES &amp; mph</v>
      </c>
      <c r="K13" s="446"/>
      <c r="L13" s="446"/>
      <c r="M13" s="446"/>
      <c r="N13" s="446"/>
      <c r="O13" s="259" t="str">
        <f t="shared" si="3"/>
        <v/>
      </c>
      <c r="P13" s="260"/>
      <c r="Q13" s="169">
        <f t="shared" si="4"/>
        <v>0</v>
      </c>
      <c r="R13" s="351"/>
      <c r="S13" s="368" t="str">
        <f t="shared" si="12"/>
        <v/>
      </c>
      <c r="T13" s="351"/>
      <c r="U13" s="351"/>
      <c r="V13" s="351"/>
      <c r="W13" s="351"/>
      <c r="X13" s="260"/>
      <c r="Y13" s="260"/>
      <c r="Z13" s="234"/>
      <c r="AA13" s="348">
        <f t="shared" si="8"/>
        <v>0</v>
      </c>
      <c r="AB13" s="274">
        <f t="shared" si="13"/>
        <v>0</v>
      </c>
      <c r="AC13" s="97"/>
      <c r="AD13" s="97"/>
      <c r="AE13" s="97"/>
      <c r="AF13" s="97"/>
      <c r="AG13" s="97"/>
      <c r="AH13" s="97"/>
      <c r="AI13" s="97"/>
    </row>
    <row r="14" spans="1:35" ht="16" thickTop="1">
      <c r="A14" s="1" t="s">
        <v>9</v>
      </c>
      <c r="B14" s="57">
        <f t="shared" ref="B14:B20" si="15">IF(B$2&gt;C14,0,C14)</f>
        <v>43255</v>
      </c>
      <c r="C14" s="40">
        <f>C11+1</f>
        <v>43255</v>
      </c>
      <c r="D14" s="22">
        <f t="shared" ca="1" si="1"/>
        <v>-117</v>
      </c>
      <c r="E14" s="118" t="s">
        <v>1</v>
      </c>
      <c r="F14" s="55"/>
      <c r="G14" s="56"/>
      <c r="H14" s="56"/>
      <c r="I14" s="136"/>
      <c r="J14" s="128"/>
      <c r="K14" s="201" t="str">
        <f t="shared" ref="K14" si="16">IF(R14=0,"",IF(L14="","",J14))</f>
        <v/>
      </c>
      <c r="L14" s="128"/>
      <c r="M14" s="56" t="str">
        <f>IF(R14=0,"",IF(J14="","",L14))</f>
        <v/>
      </c>
      <c r="N14" s="327"/>
      <c r="O14" s="259">
        <f t="shared" si="3"/>
        <v>2745.0091555846134</v>
      </c>
      <c r="P14" s="260">
        <f t="shared" ref="P14:P20" si="17">H$56</f>
        <v>82349.027466753847</v>
      </c>
      <c r="Q14" s="169">
        <f t="shared" si="4"/>
        <v>51.169313438004977</v>
      </c>
      <c r="R14" s="169">
        <f>IF(R$2=3,H14+G14/1.0936133+F14/0.0006213712,IF(R$2=2,H14*1.0936133+G14+F14/0.0005681818,IF(R$2=1,H14*0.0005681818*1.0936133+G14*0.0005681818+F14,"")))</f>
        <v>0</v>
      </c>
      <c r="S14" s="368" t="str">
        <f t="shared" si="12"/>
        <v/>
      </c>
      <c r="T14" s="169"/>
      <c r="U14" s="169"/>
      <c r="V14" s="170" t="str">
        <f t="shared" ref="V14:V20" si="18">IF(L14="","",IF(R14=0,"",IF(B14=0,"",IF($R$2=3,R14/L14*60/1000,IF($R$2=2,R14/L14*60/1760,IF($R$2=1,R14/L14*60,""))))))</f>
        <v/>
      </c>
      <c r="W14" s="170" t="str">
        <f t="shared" ref="W14:W20" si="19">IF(R14=0,"",IF(L14="","",V14*L14))</f>
        <v/>
      </c>
      <c r="X14" s="259">
        <f>F14+X11</f>
        <v>0</v>
      </c>
      <c r="Y14" s="259">
        <f>G14+Y11</f>
        <v>0</v>
      </c>
      <c r="Z14" s="259">
        <f>H14+Z11</f>
        <v>0</v>
      </c>
      <c r="AA14" s="348">
        <f t="shared" si="8"/>
        <v>0</v>
      </c>
      <c r="AB14" s="274">
        <f t="shared" si="13"/>
        <v>0</v>
      </c>
      <c r="AC14" s="97"/>
      <c r="AD14" s="97"/>
      <c r="AE14" s="97"/>
      <c r="AF14" s="97"/>
      <c r="AG14" s="97"/>
      <c r="AH14" s="97"/>
      <c r="AI14" s="97"/>
    </row>
    <row r="15" spans="1:35">
      <c r="A15" s="1"/>
      <c r="B15" s="5">
        <f t="shared" si="15"/>
        <v>43256</v>
      </c>
      <c r="C15" s="38">
        <f t="shared" ref="C15:C20" si="20">C14+1</f>
        <v>43256</v>
      </c>
      <c r="D15" s="7">
        <f t="shared" ca="1" si="1"/>
        <v>-118</v>
      </c>
      <c r="E15" s="114" t="s">
        <v>2</v>
      </c>
      <c r="F15" s="55"/>
      <c r="G15" s="56"/>
      <c r="H15" s="56"/>
      <c r="I15" s="200"/>
      <c r="J15" s="56"/>
      <c r="K15" s="201" t="str">
        <f>IF(R15=0,"",IF(L15="","",J15))</f>
        <v/>
      </c>
      <c r="L15" s="56"/>
      <c r="M15" s="56" t="str">
        <f t="shared" ref="M15:M20" si="21">IF(R15=0,"",IF(J15="","",L15))</f>
        <v/>
      </c>
      <c r="N15" s="328"/>
      <c r="O15" s="259">
        <f t="shared" si="3"/>
        <v>2745.0091555846134</v>
      </c>
      <c r="P15" s="260">
        <f t="shared" si="17"/>
        <v>82349.027466753847</v>
      </c>
      <c r="Q15" s="169">
        <f t="shared" si="4"/>
        <v>51.169313438004977</v>
      </c>
      <c r="R15" s="169">
        <f t="shared" ref="R15:R20" si="22">IF(R$2=3,H15+G15/1.0936133+F15/0.0006213712,IF(R$2=2,H15*1.0936133+G15+F15/0.0005681818,IF(R$2=1,H15*0.0005681818*1.0936133+G15*0.0005681818+F15,"")))</f>
        <v>0</v>
      </c>
      <c r="S15" s="368" t="str">
        <f t="shared" si="12"/>
        <v/>
      </c>
      <c r="T15" s="169"/>
      <c r="U15" s="169"/>
      <c r="V15" s="170" t="str">
        <f t="shared" si="18"/>
        <v/>
      </c>
      <c r="W15" s="170" t="str">
        <f t="shared" si="19"/>
        <v/>
      </c>
      <c r="X15" s="259">
        <f t="shared" ref="X15:Z20" si="23">F15+X14</f>
        <v>0</v>
      </c>
      <c r="Y15" s="259">
        <f t="shared" si="23"/>
        <v>0</v>
      </c>
      <c r="Z15" s="259">
        <f t="shared" si="23"/>
        <v>0</v>
      </c>
      <c r="AA15" s="348">
        <f t="shared" si="8"/>
        <v>0</v>
      </c>
      <c r="AB15" s="274">
        <f t="shared" si="13"/>
        <v>0</v>
      </c>
      <c r="AC15" s="97"/>
      <c r="AD15" s="97"/>
      <c r="AE15" s="97"/>
      <c r="AF15" s="97"/>
      <c r="AG15" s="97"/>
      <c r="AH15" s="97"/>
      <c r="AI15" s="97"/>
    </row>
    <row r="16" spans="1:35">
      <c r="A16" s="1"/>
      <c r="B16" s="5">
        <f t="shared" si="15"/>
        <v>43257</v>
      </c>
      <c r="C16" s="38">
        <f t="shared" si="20"/>
        <v>43257</v>
      </c>
      <c r="D16" s="7">
        <f t="shared" ca="1" si="1"/>
        <v>-119</v>
      </c>
      <c r="E16" s="114" t="s">
        <v>3</v>
      </c>
      <c r="F16" s="55"/>
      <c r="G16" s="56"/>
      <c r="H16" s="56"/>
      <c r="I16" s="200"/>
      <c r="J16" s="56"/>
      <c r="K16" s="201" t="str">
        <f t="shared" ref="K16:K20" si="24">IF(R16=0,"",IF(L16="","",J16))</f>
        <v/>
      </c>
      <c r="L16" s="56"/>
      <c r="M16" s="56" t="str">
        <f t="shared" si="21"/>
        <v/>
      </c>
      <c r="N16" s="328"/>
      <c r="O16" s="259">
        <f t="shared" si="3"/>
        <v>2745.0091555846134</v>
      </c>
      <c r="P16" s="260">
        <f t="shared" si="17"/>
        <v>82349.027466753847</v>
      </c>
      <c r="Q16" s="169">
        <f t="shared" si="4"/>
        <v>51.169313438004977</v>
      </c>
      <c r="R16" s="169">
        <f t="shared" si="22"/>
        <v>0</v>
      </c>
      <c r="S16" s="368" t="str">
        <f t="shared" si="12"/>
        <v/>
      </c>
      <c r="T16" s="169"/>
      <c r="U16" s="169"/>
      <c r="V16" s="170" t="str">
        <f t="shared" si="18"/>
        <v/>
      </c>
      <c r="W16" s="170" t="str">
        <f t="shared" si="19"/>
        <v/>
      </c>
      <c r="X16" s="259">
        <f t="shared" si="23"/>
        <v>0</v>
      </c>
      <c r="Y16" s="259">
        <f t="shared" si="23"/>
        <v>0</v>
      </c>
      <c r="Z16" s="259">
        <f t="shared" si="23"/>
        <v>0</v>
      </c>
      <c r="AA16" s="348">
        <f t="shared" si="8"/>
        <v>0</v>
      </c>
      <c r="AB16" s="274">
        <f t="shared" si="13"/>
        <v>0</v>
      </c>
      <c r="AC16" s="97"/>
      <c r="AD16" s="97"/>
      <c r="AE16" s="97"/>
      <c r="AF16" s="97"/>
      <c r="AG16" s="97"/>
      <c r="AH16" s="97"/>
      <c r="AI16" s="97"/>
    </row>
    <row r="17" spans="1:35">
      <c r="A17" s="1"/>
      <c r="B17" s="5">
        <f t="shared" si="15"/>
        <v>43258</v>
      </c>
      <c r="C17" s="38">
        <f t="shared" si="20"/>
        <v>43258</v>
      </c>
      <c r="D17" s="7">
        <f t="shared" ca="1" si="1"/>
        <v>-120</v>
      </c>
      <c r="E17" s="114" t="s">
        <v>4</v>
      </c>
      <c r="F17" s="55"/>
      <c r="G17" s="56"/>
      <c r="H17" s="56"/>
      <c r="I17" s="200"/>
      <c r="J17" s="56"/>
      <c r="K17" s="201" t="str">
        <f t="shared" si="24"/>
        <v/>
      </c>
      <c r="L17" s="56"/>
      <c r="M17" s="56" t="str">
        <f t="shared" si="21"/>
        <v/>
      </c>
      <c r="N17" s="328"/>
      <c r="O17" s="259">
        <f t="shared" si="3"/>
        <v>2745.0091555846134</v>
      </c>
      <c r="P17" s="260">
        <f t="shared" si="17"/>
        <v>82349.027466753847</v>
      </c>
      <c r="Q17" s="169">
        <f t="shared" si="4"/>
        <v>51.169313438004977</v>
      </c>
      <c r="R17" s="169">
        <f t="shared" si="22"/>
        <v>0</v>
      </c>
      <c r="S17" s="368" t="str">
        <f t="shared" si="12"/>
        <v/>
      </c>
      <c r="T17" s="169"/>
      <c r="U17" s="169"/>
      <c r="V17" s="170" t="str">
        <f t="shared" si="18"/>
        <v/>
      </c>
      <c r="W17" s="170" t="str">
        <f t="shared" si="19"/>
        <v/>
      </c>
      <c r="X17" s="259">
        <f t="shared" si="23"/>
        <v>0</v>
      </c>
      <c r="Y17" s="259">
        <f t="shared" si="23"/>
        <v>0</v>
      </c>
      <c r="Z17" s="259">
        <f t="shared" si="23"/>
        <v>0</v>
      </c>
      <c r="AA17" s="348">
        <f t="shared" si="8"/>
        <v>0</v>
      </c>
      <c r="AB17" s="274">
        <f t="shared" si="13"/>
        <v>0</v>
      </c>
      <c r="AC17" s="97"/>
      <c r="AD17" s="97"/>
      <c r="AE17" s="97"/>
      <c r="AF17" s="97"/>
      <c r="AG17" s="97"/>
      <c r="AH17" s="97"/>
      <c r="AI17" s="97"/>
    </row>
    <row r="18" spans="1:35">
      <c r="A18" s="1"/>
      <c r="B18" s="5">
        <f t="shared" si="15"/>
        <v>43259</v>
      </c>
      <c r="C18" s="38">
        <f t="shared" si="20"/>
        <v>43259</v>
      </c>
      <c r="D18" s="7">
        <f t="shared" ca="1" si="1"/>
        <v>-121</v>
      </c>
      <c r="E18" s="114" t="s">
        <v>5</v>
      </c>
      <c r="F18" s="55"/>
      <c r="G18" s="56"/>
      <c r="H18" s="56"/>
      <c r="I18" s="200"/>
      <c r="J18" s="56"/>
      <c r="K18" s="201" t="str">
        <f t="shared" si="24"/>
        <v/>
      </c>
      <c r="L18" s="56"/>
      <c r="M18" s="56" t="str">
        <f t="shared" si="21"/>
        <v/>
      </c>
      <c r="N18" s="324"/>
      <c r="O18" s="259">
        <f t="shared" si="3"/>
        <v>2745.0091555846134</v>
      </c>
      <c r="P18" s="260">
        <f t="shared" si="17"/>
        <v>82349.027466753847</v>
      </c>
      <c r="Q18" s="169">
        <f t="shared" si="4"/>
        <v>51.169313438004977</v>
      </c>
      <c r="R18" s="169">
        <f t="shared" si="22"/>
        <v>0</v>
      </c>
      <c r="S18" s="368" t="str">
        <f t="shared" si="12"/>
        <v/>
      </c>
      <c r="T18" s="169"/>
      <c r="U18" s="169"/>
      <c r="V18" s="170" t="str">
        <f t="shared" si="18"/>
        <v/>
      </c>
      <c r="W18" s="170" t="str">
        <f t="shared" si="19"/>
        <v/>
      </c>
      <c r="X18" s="259">
        <f t="shared" si="23"/>
        <v>0</v>
      </c>
      <c r="Y18" s="259">
        <f t="shared" si="23"/>
        <v>0</v>
      </c>
      <c r="Z18" s="259">
        <f t="shared" si="23"/>
        <v>0</v>
      </c>
      <c r="AA18" s="348">
        <f t="shared" si="8"/>
        <v>0</v>
      </c>
      <c r="AB18" s="274">
        <f t="shared" si="13"/>
        <v>0</v>
      </c>
      <c r="AC18" s="97"/>
      <c r="AD18" s="97"/>
      <c r="AE18" s="97"/>
      <c r="AF18" s="97"/>
      <c r="AG18" s="97"/>
      <c r="AH18" s="97"/>
      <c r="AI18" s="97"/>
    </row>
    <row r="19" spans="1:35">
      <c r="A19" s="1"/>
      <c r="B19" s="5">
        <f t="shared" si="15"/>
        <v>43260</v>
      </c>
      <c r="C19" s="38">
        <f t="shared" si="20"/>
        <v>43260</v>
      </c>
      <c r="D19" s="7">
        <f t="shared" ca="1" si="1"/>
        <v>-122</v>
      </c>
      <c r="E19" s="114" t="s">
        <v>6</v>
      </c>
      <c r="F19" s="55"/>
      <c r="G19" s="56"/>
      <c r="H19" s="56"/>
      <c r="I19" s="200"/>
      <c r="J19" s="56"/>
      <c r="K19" s="201" t="str">
        <f t="shared" si="24"/>
        <v/>
      </c>
      <c r="L19" s="56"/>
      <c r="M19" s="56" t="str">
        <f t="shared" si="21"/>
        <v/>
      </c>
      <c r="N19" s="324"/>
      <c r="O19" s="259">
        <f t="shared" si="3"/>
        <v>2745.0091555846134</v>
      </c>
      <c r="P19" s="260">
        <f t="shared" si="17"/>
        <v>82349.027466753847</v>
      </c>
      <c r="Q19" s="169">
        <f t="shared" si="4"/>
        <v>51.169313438004977</v>
      </c>
      <c r="R19" s="169">
        <f t="shared" si="22"/>
        <v>0</v>
      </c>
      <c r="S19" s="368" t="str">
        <f t="shared" si="12"/>
        <v/>
      </c>
      <c r="T19" s="169"/>
      <c r="U19" s="169"/>
      <c r="V19" s="170" t="str">
        <f t="shared" si="18"/>
        <v/>
      </c>
      <c r="W19" s="170" t="str">
        <f t="shared" si="19"/>
        <v/>
      </c>
      <c r="X19" s="259">
        <f t="shared" si="23"/>
        <v>0</v>
      </c>
      <c r="Y19" s="259">
        <f t="shared" si="23"/>
        <v>0</v>
      </c>
      <c r="Z19" s="259">
        <f t="shared" si="23"/>
        <v>0</v>
      </c>
      <c r="AA19" s="348">
        <f t="shared" si="8"/>
        <v>0</v>
      </c>
      <c r="AB19" s="274">
        <f t="shared" si="13"/>
        <v>0</v>
      </c>
      <c r="AC19" s="97"/>
      <c r="AD19" s="97"/>
      <c r="AE19" s="97"/>
      <c r="AF19" s="97"/>
      <c r="AG19" s="97"/>
      <c r="AH19" s="97"/>
      <c r="AI19" s="97"/>
    </row>
    <row r="20" spans="1:35" ht="16" thickBot="1">
      <c r="A20" s="1"/>
      <c r="B20" s="53">
        <f t="shared" si="15"/>
        <v>43261</v>
      </c>
      <c r="C20" s="41">
        <f t="shared" si="20"/>
        <v>43261</v>
      </c>
      <c r="D20" s="54">
        <f t="shared" ca="1" si="1"/>
        <v>-123</v>
      </c>
      <c r="E20" s="117" t="s">
        <v>7</v>
      </c>
      <c r="F20" s="55"/>
      <c r="G20" s="56"/>
      <c r="H20" s="56"/>
      <c r="I20" s="200"/>
      <c r="J20" s="56"/>
      <c r="K20" s="201" t="str">
        <f t="shared" si="24"/>
        <v/>
      </c>
      <c r="L20" s="56"/>
      <c r="M20" s="56" t="str">
        <f t="shared" si="21"/>
        <v/>
      </c>
      <c r="N20" s="329"/>
      <c r="O20" s="259">
        <f t="shared" si="3"/>
        <v>2745.0091555846134</v>
      </c>
      <c r="P20" s="260">
        <f t="shared" si="17"/>
        <v>82349.027466753847</v>
      </c>
      <c r="Q20" s="169">
        <f t="shared" si="4"/>
        <v>51.169313438004977</v>
      </c>
      <c r="R20" s="169">
        <f t="shared" si="22"/>
        <v>0</v>
      </c>
      <c r="S20" s="368" t="str">
        <f t="shared" si="12"/>
        <v/>
      </c>
      <c r="T20" s="169"/>
      <c r="U20" s="169"/>
      <c r="V20" s="170" t="str">
        <f t="shared" si="18"/>
        <v/>
      </c>
      <c r="W20" s="170" t="str">
        <f t="shared" si="19"/>
        <v/>
      </c>
      <c r="X20" s="259">
        <f t="shared" si="23"/>
        <v>0</v>
      </c>
      <c r="Y20" s="259">
        <f t="shared" si="23"/>
        <v>0</v>
      </c>
      <c r="Z20" s="259">
        <f t="shared" si="23"/>
        <v>0</v>
      </c>
      <c r="AA20" s="348">
        <f t="shared" si="8"/>
        <v>0</v>
      </c>
      <c r="AB20" s="274">
        <f t="shared" si="13"/>
        <v>0</v>
      </c>
      <c r="AC20" s="97"/>
      <c r="AD20" s="97"/>
      <c r="AE20" s="97"/>
      <c r="AF20" s="97"/>
      <c r="AG20" s="97"/>
      <c r="AH20" s="97"/>
      <c r="AI20" s="97"/>
    </row>
    <row r="21" spans="1:35" ht="16" thickTop="1">
      <c r="A21" s="29"/>
      <c r="B21" s="16"/>
      <c r="C21" s="42"/>
      <c r="D21" s="60">
        <f ca="1">TODAY()-C21</f>
        <v>43138</v>
      </c>
      <c r="E21" s="113" t="s">
        <v>76</v>
      </c>
      <c r="F21" s="59">
        <f ca="1">G21*0.000568181818</f>
        <v>-1.2427401132386871E-58</v>
      </c>
      <c r="G21" s="19">
        <f ca="1">H21*1.0936113</f>
        <v>-2.1872226000000002E-55</v>
      </c>
      <c r="H21" s="129">
        <f ca="1">IF(TODAY()&gt;=B14,(AA20-AA11)*1000,-2E-55)</f>
        <v>-2E-55</v>
      </c>
      <c r="I21" s="152"/>
      <c r="J21" s="447" t="str">
        <f>IF(R21=0,"",#REF!)</f>
        <v/>
      </c>
      <c r="K21" s="448"/>
      <c r="L21" s="448"/>
      <c r="M21" s="448"/>
      <c r="N21" s="448"/>
      <c r="O21" s="259" t="str">
        <f t="shared" si="3"/>
        <v/>
      </c>
      <c r="P21" s="260"/>
      <c r="Q21" s="169">
        <f t="shared" si="4"/>
        <v>0</v>
      </c>
      <c r="R21" s="350"/>
      <c r="S21" s="368" t="str">
        <f t="shared" si="12"/>
        <v/>
      </c>
      <c r="T21" s="350"/>
      <c r="U21" s="350"/>
      <c r="V21" s="350"/>
      <c r="W21" s="350"/>
      <c r="X21" s="234"/>
      <c r="Y21" s="234"/>
      <c r="Z21" s="234"/>
      <c r="AA21" s="348">
        <f t="shared" si="8"/>
        <v>0</v>
      </c>
      <c r="AB21" s="274">
        <f t="shared" si="13"/>
        <v>0</v>
      </c>
      <c r="AC21" s="97"/>
      <c r="AD21" s="97"/>
      <c r="AE21" s="97"/>
      <c r="AF21" s="97"/>
      <c r="AG21" s="97"/>
      <c r="AH21" s="97"/>
      <c r="AI21" s="97"/>
    </row>
    <row r="22" spans="1:35" ht="16" thickBot="1">
      <c r="A22" s="28"/>
      <c r="B22" s="17"/>
      <c r="C22" s="39"/>
      <c r="D22" s="61">
        <f ca="1">TODAY()-C22</f>
        <v>43138</v>
      </c>
      <c r="E22" s="116" t="s">
        <v>33</v>
      </c>
      <c r="F22" s="62">
        <f>G22*0.0005681818</f>
        <v>11.939625259693345</v>
      </c>
      <c r="G22" s="63">
        <f>H22*1.0936113</f>
        <v>21013.741129500002</v>
      </c>
      <c r="H22" s="131">
        <f>INT(SUM($O14:$O20))</f>
        <v>19215</v>
      </c>
      <c r="I22" s="153"/>
      <c r="J22" s="449"/>
      <c r="K22" s="451"/>
      <c r="L22" s="451"/>
      <c r="M22" s="451"/>
      <c r="N22" s="451"/>
      <c r="O22" s="259" t="str">
        <f t="shared" si="3"/>
        <v/>
      </c>
      <c r="P22" s="260"/>
      <c r="Q22" s="169">
        <f t="shared" si="4"/>
        <v>0</v>
      </c>
      <c r="R22" s="351"/>
      <c r="S22" s="368" t="str">
        <f t="shared" si="12"/>
        <v/>
      </c>
      <c r="T22" s="351"/>
      <c r="U22" s="351"/>
      <c r="V22" s="351"/>
      <c r="W22" s="351"/>
      <c r="X22" s="234"/>
      <c r="Y22" s="234"/>
      <c r="Z22" s="234"/>
      <c r="AA22" s="348">
        <f t="shared" si="8"/>
        <v>0</v>
      </c>
      <c r="AB22" s="274">
        <f t="shared" si="13"/>
        <v>0</v>
      </c>
      <c r="AC22" s="97"/>
      <c r="AD22" s="97"/>
      <c r="AE22" s="97"/>
      <c r="AF22" s="97"/>
      <c r="AG22" s="97"/>
      <c r="AH22" s="97"/>
      <c r="AI22" s="97"/>
    </row>
    <row r="23" spans="1:35" ht="16" thickTop="1">
      <c r="A23" s="1" t="s">
        <v>10</v>
      </c>
      <c r="B23" s="57">
        <f t="shared" ref="B23:B29" si="25">IF(B$2&gt;C23,0,C23)</f>
        <v>43262</v>
      </c>
      <c r="C23" s="40">
        <f>C20+1</f>
        <v>43262</v>
      </c>
      <c r="D23" s="22">
        <f t="shared" ca="1" si="1"/>
        <v>-124</v>
      </c>
      <c r="E23" s="118" t="s">
        <v>1</v>
      </c>
      <c r="F23" s="55"/>
      <c r="G23" s="56"/>
      <c r="H23" s="56"/>
      <c r="I23" s="200"/>
      <c r="J23" s="128"/>
      <c r="K23" s="201" t="str">
        <f t="shared" ref="K23" si="26">IF(R23=0,"",IF(L23="","",J23))</f>
        <v/>
      </c>
      <c r="L23" s="128"/>
      <c r="M23" s="56" t="str">
        <f>IF(R23=0,"",IF(J23="","",L23))</f>
        <v/>
      </c>
      <c r="N23" s="330"/>
      <c r="O23" s="259">
        <f t="shared" si="3"/>
        <v>2745.0091555846134</v>
      </c>
      <c r="P23" s="260">
        <f t="shared" ref="P23:P29" si="27">H$56</f>
        <v>82349.027466753847</v>
      </c>
      <c r="Q23" s="169">
        <f t="shared" si="4"/>
        <v>51.169313438004977</v>
      </c>
      <c r="R23" s="169">
        <f>IF(R$2=3,H23+G23/1.0936133+F23/0.0006213712,IF(R$2=2,H23*1.0936133+G23+F23/0.0005681818,IF(R$2=1,H23*0.0005681818*1.0936133+G23*0.0005681818+F23,"")))</f>
        <v>0</v>
      </c>
      <c r="S23" s="368" t="str">
        <f t="shared" si="12"/>
        <v/>
      </c>
      <c r="T23" s="169"/>
      <c r="U23" s="169"/>
      <c r="V23" s="170" t="str">
        <f t="shared" ref="V23:V29" si="28">IF(L23="","",IF(R23=0,"",IF(B23=0,"",IF($R$2=3,R23/L23*60/1000,IF($R$2=2,R23/L23*60/1760,IF($R$2=1,R23/L23*60,""))))))</f>
        <v/>
      </c>
      <c r="W23" s="170" t="str">
        <f t="shared" ref="W23:W29" si="29">IF(R23=0,"",IF(L23="","",V23*L23))</f>
        <v/>
      </c>
      <c r="X23" s="259">
        <f>F23+X20</f>
        <v>0</v>
      </c>
      <c r="Y23" s="259">
        <f>G23+Y20</f>
        <v>0</v>
      </c>
      <c r="Z23" s="259">
        <f>H23+Z20</f>
        <v>0</v>
      </c>
      <c r="AA23" s="348">
        <f t="shared" si="8"/>
        <v>0</v>
      </c>
      <c r="AB23" s="274">
        <f t="shared" si="13"/>
        <v>0</v>
      </c>
      <c r="AC23" s="97"/>
      <c r="AD23" s="97"/>
      <c r="AE23" s="97"/>
      <c r="AF23" s="97"/>
      <c r="AG23" s="97"/>
      <c r="AH23" s="97"/>
      <c r="AI23" s="97"/>
    </row>
    <row r="24" spans="1:35">
      <c r="A24" s="1"/>
      <c r="B24" s="5">
        <f t="shared" si="25"/>
        <v>43263</v>
      </c>
      <c r="C24" s="38">
        <f t="shared" ref="C24:C29" si="30">C23+1</f>
        <v>43263</v>
      </c>
      <c r="D24" s="7">
        <f t="shared" ca="1" si="1"/>
        <v>-125</v>
      </c>
      <c r="E24" s="114" t="s">
        <v>2</v>
      </c>
      <c r="F24" s="55"/>
      <c r="G24" s="56"/>
      <c r="H24" s="56"/>
      <c r="I24" s="200"/>
      <c r="J24" s="56"/>
      <c r="K24" s="201" t="str">
        <f>IF(R24=0,"",IF(L24="","",J24))</f>
        <v/>
      </c>
      <c r="L24" s="56"/>
      <c r="M24" s="56" t="str">
        <f t="shared" ref="M24:M29" si="31">IF(R24=0,"",IF(J24="","",L24))</f>
        <v/>
      </c>
      <c r="N24" s="324"/>
      <c r="O24" s="259">
        <f t="shared" si="3"/>
        <v>2745.0091555846134</v>
      </c>
      <c r="P24" s="260">
        <f t="shared" si="27"/>
        <v>82349.027466753847</v>
      </c>
      <c r="Q24" s="169">
        <f t="shared" si="4"/>
        <v>51.169313438004977</v>
      </c>
      <c r="R24" s="169">
        <f t="shared" ref="R24:R29" si="32">IF(R$2=3,H24+G24/1.0936133+F24/0.0006213712,IF(R$2=2,H24*1.0936133+G24+F24/0.0005681818,IF(R$2=1,H24*0.0005681818*1.0936133+G24*0.0005681818+F24,"")))</f>
        <v>0</v>
      </c>
      <c r="S24" s="368" t="str">
        <f t="shared" si="12"/>
        <v/>
      </c>
      <c r="T24" s="169"/>
      <c r="U24" s="169"/>
      <c r="V24" s="170" t="str">
        <f t="shared" si="28"/>
        <v/>
      </c>
      <c r="W24" s="170" t="str">
        <f t="shared" si="29"/>
        <v/>
      </c>
      <c r="X24" s="259">
        <f t="shared" ref="X24:Z29" si="33">F24+X23</f>
        <v>0</v>
      </c>
      <c r="Y24" s="259">
        <f t="shared" si="33"/>
        <v>0</v>
      </c>
      <c r="Z24" s="259">
        <f t="shared" si="33"/>
        <v>0</v>
      </c>
      <c r="AA24" s="348">
        <f t="shared" si="8"/>
        <v>0</v>
      </c>
      <c r="AB24" s="274">
        <f t="shared" si="13"/>
        <v>0</v>
      </c>
      <c r="AC24" s="97"/>
      <c r="AD24" s="97"/>
      <c r="AE24" s="97"/>
      <c r="AF24" s="97"/>
      <c r="AG24" s="97"/>
      <c r="AH24" s="97"/>
      <c r="AI24" s="97"/>
    </row>
    <row r="25" spans="1:35">
      <c r="A25" s="1"/>
      <c r="B25" s="5">
        <f t="shared" si="25"/>
        <v>43264</v>
      </c>
      <c r="C25" s="38">
        <f t="shared" si="30"/>
        <v>43264</v>
      </c>
      <c r="D25" s="7">
        <f t="shared" ca="1" si="1"/>
        <v>-126</v>
      </c>
      <c r="E25" s="114" t="s">
        <v>3</v>
      </c>
      <c r="F25" s="55"/>
      <c r="G25" s="56"/>
      <c r="H25" s="56"/>
      <c r="I25" s="200"/>
      <c r="J25" s="56"/>
      <c r="K25" s="201" t="str">
        <f t="shared" ref="K25:K29" si="34">IF(R25=0,"",IF(L25="","",J25))</f>
        <v/>
      </c>
      <c r="L25" s="56"/>
      <c r="M25" s="56" t="str">
        <f t="shared" si="31"/>
        <v/>
      </c>
      <c r="N25" s="324"/>
      <c r="O25" s="259">
        <f t="shared" si="3"/>
        <v>2745.0091555846134</v>
      </c>
      <c r="P25" s="260">
        <f t="shared" si="27"/>
        <v>82349.027466753847</v>
      </c>
      <c r="Q25" s="169">
        <f t="shared" si="4"/>
        <v>51.169313438004977</v>
      </c>
      <c r="R25" s="169">
        <f t="shared" si="32"/>
        <v>0</v>
      </c>
      <c r="S25" s="368" t="str">
        <f t="shared" si="12"/>
        <v/>
      </c>
      <c r="T25" s="169"/>
      <c r="U25" s="169"/>
      <c r="V25" s="170" t="str">
        <f t="shared" si="28"/>
        <v/>
      </c>
      <c r="W25" s="170" t="str">
        <f t="shared" si="29"/>
        <v/>
      </c>
      <c r="X25" s="259">
        <f t="shared" si="33"/>
        <v>0</v>
      </c>
      <c r="Y25" s="259">
        <f t="shared" si="33"/>
        <v>0</v>
      </c>
      <c r="Z25" s="259">
        <f t="shared" si="33"/>
        <v>0</v>
      </c>
      <c r="AA25" s="348">
        <f t="shared" si="8"/>
        <v>0</v>
      </c>
      <c r="AB25" s="274">
        <f t="shared" si="13"/>
        <v>0</v>
      </c>
      <c r="AC25" s="97"/>
      <c r="AD25" s="97"/>
      <c r="AE25" s="97"/>
      <c r="AF25" s="97"/>
      <c r="AG25" s="97"/>
      <c r="AH25" s="97"/>
      <c r="AI25" s="97"/>
    </row>
    <row r="26" spans="1:35">
      <c r="A26" s="1"/>
      <c r="B26" s="5">
        <f t="shared" si="25"/>
        <v>43265</v>
      </c>
      <c r="C26" s="38">
        <f t="shared" si="30"/>
        <v>43265</v>
      </c>
      <c r="D26" s="7">
        <f t="shared" ca="1" si="1"/>
        <v>-127</v>
      </c>
      <c r="E26" s="114" t="s">
        <v>4</v>
      </c>
      <c r="F26" s="55"/>
      <c r="G26" s="56"/>
      <c r="H26" s="56"/>
      <c r="I26" s="200"/>
      <c r="J26" s="56"/>
      <c r="K26" s="201" t="str">
        <f t="shared" si="34"/>
        <v/>
      </c>
      <c r="L26" s="56"/>
      <c r="M26" s="56" t="str">
        <f t="shared" si="31"/>
        <v/>
      </c>
      <c r="N26" s="324"/>
      <c r="O26" s="259">
        <f t="shared" si="3"/>
        <v>2745.0091555846134</v>
      </c>
      <c r="P26" s="260">
        <f t="shared" si="27"/>
        <v>82349.027466753847</v>
      </c>
      <c r="Q26" s="169">
        <f t="shared" si="4"/>
        <v>51.169313438004977</v>
      </c>
      <c r="R26" s="169">
        <f t="shared" si="32"/>
        <v>0</v>
      </c>
      <c r="S26" s="368" t="str">
        <f t="shared" si="12"/>
        <v/>
      </c>
      <c r="T26" s="169"/>
      <c r="U26" s="169"/>
      <c r="V26" s="170" t="str">
        <f t="shared" si="28"/>
        <v/>
      </c>
      <c r="W26" s="170" t="str">
        <f t="shared" si="29"/>
        <v/>
      </c>
      <c r="X26" s="259">
        <f t="shared" si="33"/>
        <v>0</v>
      </c>
      <c r="Y26" s="259">
        <f t="shared" si="33"/>
        <v>0</v>
      </c>
      <c r="Z26" s="259">
        <f t="shared" si="33"/>
        <v>0</v>
      </c>
      <c r="AA26" s="348">
        <f t="shared" si="8"/>
        <v>0</v>
      </c>
      <c r="AB26" s="274">
        <f t="shared" si="13"/>
        <v>0</v>
      </c>
      <c r="AC26" s="97"/>
      <c r="AD26" s="97"/>
      <c r="AE26" s="97"/>
      <c r="AF26" s="97"/>
      <c r="AG26" s="97"/>
      <c r="AH26" s="97"/>
      <c r="AI26" s="97"/>
    </row>
    <row r="27" spans="1:35">
      <c r="A27" s="1"/>
      <c r="B27" s="5">
        <f t="shared" si="25"/>
        <v>43266</v>
      </c>
      <c r="C27" s="38">
        <f t="shared" si="30"/>
        <v>43266</v>
      </c>
      <c r="D27" s="7">
        <f t="shared" ca="1" si="1"/>
        <v>-128</v>
      </c>
      <c r="E27" s="114" t="s">
        <v>5</v>
      </c>
      <c r="F27" s="55"/>
      <c r="G27" s="56"/>
      <c r="H27" s="56"/>
      <c r="I27" s="200"/>
      <c r="J27" s="56"/>
      <c r="K27" s="201" t="str">
        <f t="shared" si="34"/>
        <v/>
      </c>
      <c r="L27" s="56"/>
      <c r="M27" s="56" t="str">
        <f t="shared" si="31"/>
        <v/>
      </c>
      <c r="N27" s="324"/>
      <c r="O27" s="259">
        <f t="shared" si="3"/>
        <v>2745.0091555846134</v>
      </c>
      <c r="P27" s="260">
        <f t="shared" si="27"/>
        <v>82349.027466753847</v>
      </c>
      <c r="Q27" s="169">
        <f t="shared" si="4"/>
        <v>51.169313438004977</v>
      </c>
      <c r="R27" s="169">
        <f t="shared" si="32"/>
        <v>0</v>
      </c>
      <c r="S27" s="368" t="str">
        <f t="shared" si="12"/>
        <v/>
      </c>
      <c r="T27" s="169"/>
      <c r="U27" s="169"/>
      <c r="V27" s="170" t="str">
        <f t="shared" si="28"/>
        <v/>
      </c>
      <c r="W27" s="170" t="str">
        <f t="shared" si="29"/>
        <v/>
      </c>
      <c r="X27" s="259">
        <f t="shared" si="33"/>
        <v>0</v>
      </c>
      <c r="Y27" s="259">
        <f t="shared" si="33"/>
        <v>0</v>
      </c>
      <c r="Z27" s="259">
        <f t="shared" si="33"/>
        <v>0</v>
      </c>
      <c r="AA27" s="348">
        <f t="shared" si="8"/>
        <v>0</v>
      </c>
      <c r="AB27" s="274">
        <f t="shared" si="13"/>
        <v>0</v>
      </c>
      <c r="AC27" s="97"/>
      <c r="AD27" s="97"/>
      <c r="AE27" s="97"/>
      <c r="AF27" s="97"/>
      <c r="AG27" s="97"/>
      <c r="AH27" s="97"/>
      <c r="AI27" s="97"/>
    </row>
    <row r="28" spans="1:35">
      <c r="A28" s="1"/>
      <c r="B28" s="5">
        <f t="shared" si="25"/>
        <v>43267</v>
      </c>
      <c r="C28" s="38">
        <f t="shared" si="30"/>
        <v>43267</v>
      </c>
      <c r="D28" s="7">
        <f t="shared" ca="1" si="1"/>
        <v>-129</v>
      </c>
      <c r="E28" s="114" t="s">
        <v>6</v>
      </c>
      <c r="F28" s="55"/>
      <c r="G28" s="56"/>
      <c r="H28" s="56"/>
      <c r="I28" s="200"/>
      <c r="J28" s="56"/>
      <c r="K28" s="201" t="str">
        <f t="shared" si="34"/>
        <v/>
      </c>
      <c r="L28" s="56"/>
      <c r="M28" s="56" t="str">
        <f t="shared" si="31"/>
        <v/>
      </c>
      <c r="N28" s="324"/>
      <c r="O28" s="259">
        <f t="shared" si="3"/>
        <v>2745.0091555846134</v>
      </c>
      <c r="P28" s="260">
        <f t="shared" si="27"/>
        <v>82349.027466753847</v>
      </c>
      <c r="Q28" s="169">
        <f t="shared" si="4"/>
        <v>51.169313438004977</v>
      </c>
      <c r="R28" s="169">
        <f t="shared" si="32"/>
        <v>0</v>
      </c>
      <c r="S28" s="368" t="str">
        <f t="shared" si="12"/>
        <v/>
      </c>
      <c r="T28" s="169"/>
      <c r="U28" s="169"/>
      <c r="V28" s="170" t="str">
        <f t="shared" si="28"/>
        <v/>
      </c>
      <c r="W28" s="170" t="str">
        <f t="shared" si="29"/>
        <v/>
      </c>
      <c r="X28" s="259">
        <f t="shared" si="33"/>
        <v>0</v>
      </c>
      <c r="Y28" s="259">
        <f t="shared" si="33"/>
        <v>0</v>
      </c>
      <c r="Z28" s="259">
        <f t="shared" si="33"/>
        <v>0</v>
      </c>
      <c r="AA28" s="348">
        <f t="shared" si="8"/>
        <v>0</v>
      </c>
      <c r="AB28" s="274">
        <f t="shared" si="13"/>
        <v>0</v>
      </c>
      <c r="AC28" s="97"/>
      <c r="AD28" s="97"/>
      <c r="AE28" s="97"/>
      <c r="AF28" s="97"/>
      <c r="AG28" s="97"/>
      <c r="AH28" s="97"/>
      <c r="AI28" s="97"/>
    </row>
    <row r="29" spans="1:35" ht="16" thickBot="1">
      <c r="A29" s="1"/>
      <c r="B29" s="53">
        <f t="shared" si="25"/>
        <v>43268</v>
      </c>
      <c r="C29" s="41">
        <f t="shared" si="30"/>
        <v>43268</v>
      </c>
      <c r="D29" s="54">
        <f t="shared" ca="1" si="1"/>
        <v>-130</v>
      </c>
      <c r="E29" s="117" t="s">
        <v>7</v>
      </c>
      <c r="F29" s="55"/>
      <c r="G29" s="56"/>
      <c r="H29" s="56"/>
      <c r="I29" s="200"/>
      <c r="J29" s="56"/>
      <c r="K29" s="201" t="str">
        <f t="shared" si="34"/>
        <v/>
      </c>
      <c r="L29" s="56"/>
      <c r="M29" s="56" t="str">
        <f t="shared" si="31"/>
        <v/>
      </c>
      <c r="N29" s="329"/>
      <c r="O29" s="259">
        <f t="shared" si="3"/>
        <v>2745.0091555846134</v>
      </c>
      <c r="P29" s="260">
        <f t="shared" si="27"/>
        <v>82349.027466753847</v>
      </c>
      <c r="Q29" s="169">
        <f t="shared" si="4"/>
        <v>51.169313438004977</v>
      </c>
      <c r="R29" s="169">
        <f t="shared" si="32"/>
        <v>0</v>
      </c>
      <c r="S29" s="368" t="str">
        <f t="shared" si="12"/>
        <v/>
      </c>
      <c r="T29" s="169"/>
      <c r="U29" s="169"/>
      <c r="V29" s="170" t="str">
        <f t="shared" si="28"/>
        <v/>
      </c>
      <c r="W29" s="170" t="str">
        <f t="shared" si="29"/>
        <v/>
      </c>
      <c r="X29" s="259">
        <f t="shared" si="33"/>
        <v>0</v>
      </c>
      <c r="Y29" s="259">
        <f t="shared" si="33"/>
        <v>0</v>
      </c>
      <c r="Z29" s="259">
        <f t="shared" si="33"/>
        <v>0</v>
      </c>
      <c r="AA29" s="348">
        <f t="shared" si="8"/>
        <v>0</v>
      </c>
      <c r="AB29" s="274">
        <f t="shared" si="13"/>
        <v>0</v>
      </c>
      <c r="AC29" s="97"/>
      <c r="AD29" s="97"/>
      <c r="AE29" s="97"/>
      <c r="AF29" s="97"/>
      <c r="AG29" s="97"/>
      <c r="AH29" s="97"/>
      <c r="AI29" s="97"/>
    </row>
    <row r="30" spans="1:35" ht="16" thickTop="1">
      <c r="A30" s="29"/>
      <c r="B30" s="16"/>
      <c r="C30" s="42"/>
      <c r="D30" s="60">
        <f ca="1">TODAY()-C30</f>
        <v>43138</v>
      </c>
      <c r="E30" s="113" t="s">
        <v>76</v>
      </c>
      <c r="F30" s="59">
        <f ca="1">G30*0.000568181818</f>
        <v>-1.2427401132386871E-58</v>
      </c>
      <c r="G30" s="19">
        <f ca="1">H30*1.0936113</f>
        <v>-2.1872226000000002E-55</v>
      </c>
      <c r="H30" s="129">
        <f ca="1">IF(TODAY()&gt;=B23,(AA29-AA20)*1000,-2E-55)</f>
        <v>-2E-55</v>
      </c>
      <c r="I30" s="152"/>
      <c r="J30" s="424" t="s">
        <v>121</v>
      </c>
      <c r="K30" s="452"/>
      <c r="L30" s="452"/>
      <c r="M30" s="453"/>
      <c r="N30" s="453"/>
      <c r="O30" s="259" t="str">
        <f t="shared" si="3"/>
        <v/>
      </c>
      <c r="P30" s="260"/>
      <c r="Q30" s="169">
        <f t="shared" si="4"/>
        <v>0</v>
      </c>
      <c r="R30" s="350"/>
      <c r="S30" s="368" t="str">
        <f t="shared" si="12"/>
        <v/>
      </c>
      <c r="T30" s="350"/>
      <c r="U30" s="350"/>
      <c r="V30" s="350"/>
      <c r="W30" s="350"/>
      <c r="X30" s="234"/>
      <c r="Y30" s="234"/>
      <c r="Z30" s="234"/>
      <c r="AA30" s="348">
        <f t="shared" si="8"/>
        <v>0</v>
      </c>
      <c r="AB30" s="274">
        <f t="shared" si="13"/>
        <v>0</v>
      </c>
      <c r="AC30" s="97"/>
      <c r="AD30" s="97"/>
      <c r="AE30" s="97"/>
      <c r="AF30" s="97"/>
      <c r="AG30" s="97"/>
      <c r="AH30" s="97"/>
      <c r="AI30" s="97"/>
    </row>
    <row r="31" spans="1:35" ht="19" thickBot="1">
      <c r="A31" s="28"/>
      <c r="B31" s="17"/>
      <c r="C31" s="39"/>
      <c r="D31" s="61">
        <f ca="1">TODAY()-C31</f>
        <v>43138</v>
      </c>
      <c r="E31" s="116" t="s">
        <v>33</v>
      </c>
      <c r="F31" s="62">
        <f>G31*0.0005681818</f>
        <v>11.939625259693345</v>
      </c>
      <c r="G31" s="63">
        <f>H31*1.0936113</f>
        <v>21013.741129500002</v>
      </c>
      <c r="H31" s="131">
        <f>INT(SUM($O23:$O29))</f>
        <v>19215</v>
      </c>
      <c r="I31" s="153"/>
      <c r="J31" s="426" t="str">
        <f>IF(R$2=1,"mph",IF(R$2=2,"mph",IF(R$2=3," km/h","????")))</f>
        <v>mph</v>
      </c>
      <c r="K31" s="454"/>
      <c r="L31" s="454"/>
      <c r="M31" s="455"/>
      <c r="N31" s="455"/>
      <c r="O31" s="259" t="str">
        <f t="shared" si="3"/>
        <v/>
      </c>
      <c r="P31" s="260"/>
      <c r="Q31" s="169">
        <f t="shared" si="4"/>
        <v>0</v>
      </c>
      <c r="R31" s="351"/>
      <c r="S31" s="368" t="str">
        <f t="shared" si="12"/>
        <v/>
      </c>
      <c r="T31" s="351"/>
      <c r="U31" s="351"/>
      <c r="V31" s="351"/>
      <c r="W31" s="351"/>
      <c r="X31" s="234"/>
      <c r="Y31" s="234"/>
      <c r="Z31" s="234"/>
      <c r="AA31" s="348">
        <f t="shared" si="8"/>
        <v>0</v>
      </c>
      <c r="AB31" s="274">
        <f t="shared" si="13"/>
        <v>0</v>
      </c>
      <c r="AC31" s="97"/>
      <c r="AD31" s="97"/>
      <c r="AE31" s="97"/>
      <c r="AF31" s="97"/>
      <c r="AG31" s="97"/>
      <c r="AH31" s="97"/>
      <c r="AI31" s="97"/>
    </row>
    <row r="32" spans="1:35" ht="16" thickTop="1">
      <c r="A32" s="1" t="s">
        <v>11</v>
      </c>
      <c r="B32" s="57">
        <f t="shared" ref="B32:B38" si="35">IF(B$2&gt;C32,0,C32)</f>
        <v>43269</v>
      </c>
      <c r="C32" s="40">
        <f>C29+1</f>
        <v>43269</v>
      </c>
      <c r="D32" s="22">
        <f t="shared" ca="1" si="1"/>
        <v>-131</v>
      </c>
      <c r="E32" s="118" t="s">
        <v>1</v>
      </c>
      <c r="F32" s="55"/>
      <c r="G32" s="56"/>
      <c r="H32" s="56"/>
      <c r="I32" s="200"/>
      <c r="J32" s="128"/>
      <c r="K32" s="201" t="str">
        <f t="shared" ref="K32" si="36">IF(R32=0,"",IF(L32="","",J32))</f>
        <v/>
      </c>
      <c r="L32" s="154"/>
      <c r="M32" s="56" t="str">
        <f>IF(R32=0,"",IF(J32="","",L32))</f>
        <v/>
      </c>
      <c r="N32" s="330"/>
      <c r="O32" s="259">
        <f t="shared" si="3"/>
        <v>2745.0091555846134</v>
      </c>
      <c r="P32" s="260">
        <f t="shared" ref="P32:P38" si="37">H$56</f>
        <v>82349.027466753847</v>
      </c>
      <c r="Q32" s="169">
        <f t="shared" si="4"/>
        <v>51.169313438004977</v>
      </c>
      <c r="R32" s="169">
        <f>IF(R$2=3,H32+G32/1.0936133+F32/0.0006213712,IF(R$2=2,H32*1.0936133+G32+F32/0.0005681818,IF(R$2=1,H32*0.0005681818*1.0936133+G32*0.0005681818+F32,"")))</f>
        <v>0</v>
      </c>
      <c r="S32" s="368" t="str">
        <f t="shared" si="12"/>
        <v/>
      </c>
      <c r="T32" s="169"/>
      <c r="U32" s="169"/>
      <c r="V32" s="170" t="str">
        <f t="shared" ref="V32:V38" si="38">IF(L32="","",IF(R32=0,"",IF(B32=0,"",IF($R$2=3,R32/L32*60/1000,IF($R$2=2,R32/L32*60/1760,IF($R$2=1,R32/L32*60,""))))))</f>
        <v/>
      </c>
      <c r="W32" s="170" t="str">
        <f t="shared" ref="W32:W38" si="39">IF(R32=0,"",IF(L32="","",V32*L32))</f>
        <v/>
      </c>
      <c r="X32" s="259">
        <f>F32+X29</f>
        <v>0</v>
      </c>
      <c r="Y32" s="259">
        <f>G32+Y29</f>
        <v>0</v>
      </c>
      <c r="Z32" s="259">
        <f>H32+Z29</f>
        <v>0</v>
      </c>
      <c r="AA32" s="348">
        <f t="shared" si="8"/>
        <v>0</v>
      </c>
      <c r="AB32" s="274">
        <f t="shared" si="13"/>
        <v>0</v>
      </c>
      <c r="AC32" s="97"/>
      <c r="AD32" s="97"/>
      <c r="AE32" s="97"/>
      <c r="AF32" s="97"/>
      <c r="AG32" s="97"/>
      <c r="AH32" s="97"/>
      <c r="AI32" s="97"/>
    </row>
    <row r="33" spans="1:35">
      <c r="A33" s="1"/>
      <c r="B33" s="5">
        <f t="shared" si="35"/>
        <v>43270</v>
      </c>
      <c r="C33" s="38">
        <f t="shared" ref="C33:C38" si="40">C32+1</f>
        <v>43270</v>
      </c>
      <c r="D33" s="7">
        <f t="shared" ca="1" si="1"/>
        <v>-132</v>
      </c>
      <c r="E33" s="114" t="s">
        <v>2</v>
      </c>
      <c r="F33" s="55"/>
      <c r="G33" s="56"/>
      <c r="H33" s="56"/>
      <c r="I33" s="200"/>
      <c r="J33" s="56"/>
      <c r="K33" s="201" t="str">
        <f>IF(R33=0,"",IF(L33="","",J33))</f>
        <v/>
      </c>
      <c r="L33" s="56"/>
      <c r="M33" s="56" t="str">
        <f t="shared" ref="M33:M38" si="41">IF(R33=0,"",IF(J33="","",L33))</f>
        <v/>
      </c>
      <c r="N33" s="324"/>
      <c r="O33" s="259">
        <f t="shared" si="3"/>
        <v>2745.0091555846134</v>
      </c>
      <c r="P33" s="260">
        <f t="shared" si="37"/>
        <v>82349.027466753847</v>
      </c>
      <c r="Q33" s="169">
        <f t="shared" si="4"/>
        <v>51.169313438004977</v>
      </c>
      <c r="R33" s="169">
        <f t="shared" ref="R33:R38" si="42">IF(R$2=3,H33+G33/1.0936133+F33/0.0006213712,IF(R$2=2,H33*1.0936133+G33+F33/0.0005681818,IF(R$2=1,H33*0.0005681818*1.0936133+G33*0.0005681818+F33,"")))</f>
        <v>0</v>
      </c>
      <c r="S33" s="368" t="str">
        <f t="shared" si="12"/>
        <v/>
      </c>
      <c r="T33" s="169"/>
      <c r="U33" s="169"/>
      <c r="V33" s="170" t="str">
        <f t="shared" si="38"/>
        <v/>
      </c>
      <c r="W33" s="170" t="str">
        <f t="shared" si="39"/>
        <v/>
      </c>
      <c r="X33" s="259">
        <f t="shared" ref="X33:Z38" si="43">F33+X32</f>
        <v>0</v>
      </c>
      <c r="Y33" s="259">
        <f t="shared" si="43"/>
        <v>0</v>
      </c>
      <c r="Z33" s="259">
        <f t="shared" si="43"/>
        <v>0</v>
      </c>
      <c r="AA33" s="348">
        <f t="shared" si="8"/>
        <v>0</v>
      </c>
      <c r="AB33" s="274">
        <f t="shared" si="13"/>
        <v>0</v>
      </c>
      <c r="AC33" s="97"/>
      <c r="AD33" s="97"/>
      <c r="AE33" s="97"/>
      <c r="AF33" s="97"/>
      <c r="AG33" s="97"/>
      <c r="AH33" s="97"/>
      <c r="AI33" s="97"/>
    </row>
    <row r="34" spans="1:35">
      <c r="A34" s="1"/>
      <c r="B34" s="5">
        <f t="shared" si="35"/>
        <v>43271</v>
      </c>
      <c r="C34" s="38">
        <f t="shared" si="40"/>
        <v>43271</v>
      </c>
      <c r="D34" s="7">
        <f t="shared" ca="1" si="1"/>
        <v>-133</v>
      </c>
      <c r="E34" s="114" t="s">
        <v>3</v>
      </c>
      <c r="F34" s="55"/>
      <c r="G34" s="56"/>
      <c r="H34" s="56"/>
      <c r="I34" s="200"/>
      <c r="J34" s="56"/>
      <c r="K34" s="201" t="str">
        <f t="shared" ref="K34:K38" si="44">IF(R34=0,"",IF(L34="","",J34))</f>
        <v/>
      </c>
      <c r="L34" s="56"/>
      <c r="M34" s="56" t="str">
        <f t="shared" si="41"/>
        <v/>
      </c>
      <c r="N34" s="324"/>
      <c r="O34" s="259">
        <f t="shared" si="3"/>
        <v>2745.0091555846134</v>
      </c>
      <c r="P34" s="260">
        <f t="shared" si="37"/>
        <v>82349.027466753847</v>
      </c>
      <c r="Q34" s="169">
        <f t="shared" si="4"/>
        <v>51.169313438004977</v>
      </c>
      <c r="R34" s="169">
        <f t="shared" si="42"/>
        <v>0</v>
      </c>
      <c r="S34" s="368" t="str">
        <f t="shared" si="12"/>
        <v/>
      </c>
      <c r="T34" s="169"/>
      <c r="U34" s="169"/>
      <c r="V34" s="170" t="str">
        <f t="shared" si="38"/>
        <v/>
      </c>
      <c r="W34" s="170" t="str">
        <f t="shared" si="39"/>
        <v/>
      </c>
      <c r="X34" s="259">
        <f t="shared" si="43"/>
        <v>0</v>
      </c>
      <c r="Y34" s="259">
        <f t="shared" si="43"/>
        <v>0</v>
      </c>
      <c r="Z34" s="259">
        <f t="shared" si="43"/>
        <v>0</v>
      </c>
      <c r="AA34" s="348">
        <f t="shared" si="8"/>
        <v>0</v>
      </c>
      <c r="AB34" s="274">
        <f t="shared" si="13"/>
        <v>0</v>
      </c>
      <c r="AC34" s="97"/>
      <c r="AD34" s="97"/>
      <c r="AE34" s="97"/>
      <c r="AF34" s="97"/>
      <c r="AG34" s="97"/>
      <c r="AH34" s="97"/>
      <c r="AI34" s="97"/>
    </row>
    <row r="35" spans="1:35">
      <c r="A35" s="1"/>
      <c r="B35" s="5">
        <f t="shared" si="35"/>
        <v>43272</v>
      </c>
      <c r="C35" s="38">
        <f t="shared" si="40"/>
        <v>43272</v>
      </c>
      <c r="D35" s="7">
        <f t="shared" ca="1" si="1"/>
        <v>-134</v>
      </c>
      <c r="E35" s="114" t="s">
        <v>4</v>
      </c>
      <c r="F35" s="55"/>
      <c r="G35" s="56"/>
      <c r="H35" s="56"/>
      <c r="I35" s="200"/>
      <c r="J35" s="56"/>
      <c r="K35" s="201" t="str">
        <f t="shared" si="44"/>
        <v/>
      </c>
      <c r="L35" s="56"/>
      <c r="M35" s="56" t="str">
        <f t="shared" si="41"/>
        <v/>
      </c>
      <c r="N35" s="324"/>
      <c r="O35" s="259">
        <f t="shared" si="3"/>
        <v>2745.0091555846134</v>
      </c>
      <c r="P35" s="260">
        <f t="shared" si="37"/>
        <v>82349.027466753847</v>
      </c>
      <c r="Q35" s="169">
        <f t="shared" si="4"/>
        <v>51.169313438004977</v>
      </c>
      <c r="R35" s="169">
        <f t="shared" si="42"/>
        <v>0</v>
      </c>
      <c r="S35" s="368" t="str">
        <f t="shared" si="12"/>
        <v/>
      </c>
      <c r="T35" s="169"/>
      <c r="U35" s="169"/>
      <c r="V35" s="170" t="str">
        <f t="shared" si="38"/>
        <v/>
      </c>
      <c r="W35" s="170" t="str">
        <f t="shared" si="39"/>
        <v/>
      </c>
      <c r="X35" s="259">
        <f t="shared" si="43"/>
        <v>0</v>
      </c>
      <c r="Y35" s="259">
        <f t="shared" si="43"/>
        <v>0</v>
      </c>
      <c r="Z35" s="259">
        <f t="shared" si="43"/>
        <v>0</v>
      </c>
      <c r="AA35" s="348">
        <f t="shared" si="8"/>
        <v>0</v>
      </c>
      <c r="AB35" s="274">
        <f t="shared" si="13"/>
        <v>0</v>
      </c>
      <c r="AC35" s="97"/>
      <c r="AD35" s="97"/>
      <c r="AE35" s="97"/>
      <c r="AF35" s="97"/>
      <c r="AG35" s="97"/>
      <c r="AH35" s="97"/>
      <c r="AI35" s="97"/>
    </row>
    <row r="36" spans="1:35">
      <c r="A36" s="1"/>
      <c r="B36" s="5">
        <f t="shared" si="35"/>
        <v>43273</v>
      </c>
      <c r="C36" s="38">
        <f t="shared" si="40"/>
        <v>43273</v>
      </c>
      <c r="D36" s="7">
        <f t="shared" ca="1" si="1"/>
        <v>-135</v>
      </c>
      <c r="E36" s="114" t="s">
        <v>5</v>
      </c>
      <c r="F36" s="55"/>
      <c r="G36" s="56"/>
      <c r="H36" s="56"/>
      <c r="I36" s="200"/>
      <c r="J36" s="56"/>
      <c r="K36" s="201" t="str">
        <f t="shared" si="44"/>
        <v/>
      </c>
      <c r="L36" s="56"/>
      <c r="M36" s="56" t="str">
        <f t="shared" si="41"/>
        <v/>
      </c>
      <c r="N36" s="324"/>
      <c r="O36" s="259">
        <f t="shared" si="3"/>
        <v>2745.0091555846134</v>
      </c>
      <c r="P36" s="260">
        <f t="shared" si="37"/>
        <v>82349.027466753847</v>
      </c>
      <c r="Q36" s="169">
        <f t="shared" si="4"/>
        <v>51.169313438004977</v>
      </c>
      <c r="R36" s="169">
        <f t="shared" si="42"/>
        <v>0</v>
      </c>
      <c r="S36" s="368" t="str">
        <f t="shared" si="12"/>
        <v/>
      </c>
      <c r="T36" s="169"/>
      <c r="U36" s="169"/>
      <c r="V36" s="170" t="str">
        <f t="shared" si="38"/>
        <v/>
      </c>
      <c r="W36" s="170" t="str">
        <f t="shared" si="39"/>
        <v/>
      </c>
      <c r="X36" s="259">
        <f t="shared" si="43"/>
        <v>0</v>
      </c>
      <c r="Y36" s="259">
        <f t="shared" si="43"/>
        <v>0</v>
      </c>
      <c r="Z36" s="259">
        <f t="shared" si="43"/>
        <v>0</v>
      </c>
      <c r="AA36" s="348">
        <f t="shared" si="8"/>
        <v>0</v>
      </c>
      <c r="AB36" s="274">
        <f t="shared" si="13"/>
        <v>0</v>
      </c>
      <c r="AC36" s="97"/>
      <c r="AD36" s="97"/>
      <c r="AE36" s="97"/>
      <c r="AF36" s="97"/>
      <c r="AG36" s="97"/>
      <c r="AH36" s="97"/>
      <c r="AI36" s="97"/>
    </row>
    <row r="37" spans="1:35">
      <c r="A37" s="1"/>
      <c r="B37" s="5">
        <f t="shared" si="35"/>
        <v>43274</v>
      </c>
      <c r="C37" s="38">
        <f t="shared" si="40"/>
        <v>43274</v>
      </c>
      <c r="D37" s="7">
        <f t="shared" ca="1" si="1"/>
        <v>-136</v>
      </c>
      <c r="E37" s="114" t="s">
        <v>6</v>
      </c>
      <c r="F37" s="55"/>
      <c r="G37" s="56"/>
      <c r="H37" s="56"/>
      <c r="I37" s="200"/>
      <c r="J37" s="56"/>
      <c r="K37" s="201" t="str">
        <f t="shared" si="44"/>
        <v/>
      </c>
      <c r="L37" s="56"/>
      <c r="M37" s="56" t="str">
        <f t="shared" si="41"/>
        <v/>
      </c>
      <c r="N37" s="324"/>
      <c r="O37" s="259">
        <f t="shared" si="3"/>
        <v>2745.0091555846134</v>
      </c>
      <c r="P37" s="260">
        <f t="shared" si="37"/>
        <v>82349.027466753847</v>
      </c>
      <c r="Q37" s="169">
        <f t="shared" si="4"/>
        <v>51.169313438004977</v>
      </c>
      <c r="R37" s="169">
        <f t="shared" si="42"/>
        <v>0</v>
      </c>
      <c r="S37" s="368" t="str">
        <f t="shared" si="12"/>
        <v/>
      </c>
      <c r="T37" s="169"/>
      <c r="U37" s="169"/>
      <c r="V37" s="170" t="str">
        <f t="shared" si="38"/>
        <v/>
      </c>
      <c r="W37" s="170" t="str">
        <f t="shared" si="39"/>
        <v/>
      </c>
      <c r="X37" s="259">
        <f t="shared" si="43"/>
        <v>0</v>
      </c>
      <c r="Y37" s="259">
        <f t="shared" si="43"/>
        <v>0</v>
      </c>
      <c r="Z37" s="259">
        <f t="shared" si="43"/>
        <v>0</v>
      </c>
      <c r="AA37" s="348">
        <f t="shared" si="8"/>
        <v>0</v>
      </c>
      <c r="AB37" s="274">
        <f t="shared" si="13"/>
        <v>0</v>
      </c>
      <c r="AC37" s="97"/>
      <c r="AD37" s="97"/>
      <c r="AE37" s="97"/>
      <c r="AF37" s="97"/>
      <c r="AG37" s="97"/>
      <c r="AH37" s="97"/>
      <c r="AI37" s="97"/>
    </row>
    <row r="38" spans="1:35" ht="16" thickBot="1">
      <c r="A38" s="1"/>
      <c r="B38" s="53">
        <f t="shared" si="35"/>
        <v>43275</v>
      </c>
      <c r="C38" s="41">
        <f t="shared" si="40"/>
        <v>43275</v>
      </c>
      <c r="D38" s="54">
        <f t="shared" ca="1" si="1"/>
        <v>-137</v>
      </c>
      <c r="E38" s="117" t="s">
        <v>7</v>
      </c>
      <c r="F38" s="55"/>
      <c r="G38" s="56"/>
      <c r="H38" s="56"/>
      <c r="I38" s="200"/>
      <c r="J38" s="56"/>
      <c r="K38" s="201" t="str">
        <f t="shared" si="44"/>
        <v/>
      </c>
      <c r="L38" s="56"/>
      <c r="M38" s="56" t="str">
        <f t="shared" si="41"/>
        <v/>
      </c>
      <c r="N38" s="329"/>
      <c r="O38" s="259">
        <f t="shared" si="3"/>
        <v>2745.0091555846134</v>
      </c>
      <c r="P38" s="260">
        <f t="shared" si="37"/>
        <v>82349.027466753847</v>
      </c>
      <c r="Q38" s="169">
        <f t="shared" si="4"/>
        <v>51.169313438004977</v>
      </c>
      <c r="R38" s="169">
        <f t="shared" si="42"/>
        <v>0</v>
      </c>
      <c r="S38" s="368" t="str">
        <f t="shared" si="12"/>
        <v/>
      </c>
      <c r="T38" s="169"/>
      <c r="U38" s="169"/>
      <c r="V38" s="170" t="str">
        <f t="shared" si="38"/>
        <v/>
      </c>
      <c r="W38" s="170" t="str">
        <f t="shared" si="39"/>
        <v/>
      </c>
      <c r="X38" s="259">
        <f t="shared" si="43"/>
        <v>0</v>
      </c>
      <c r="Y38" s="259">
        <f t="shared" si="43"/>
        <v>0</v>
      </c>
      <c r="Z38" s="259">
        <f t="shared" si="43"/>
        <v>0</v>
      </c>
      <c r="AA38" s="348">
        <f t="shared" si="8"/>
        <v>0</v>
      </c>
      <c r="AB38" s="274">
        <f t="shared" si="13"/>
        <v>0</v>
      </c>
      <c r="AC38" s="97"/>
      <c r="AD38" s="97"/>
      <c r="AE38" s="97"/>
      <c r="AF38" s="97"/>
      <c r="AG38" s="97"/>
      <c r="AH38" s="97"/>
      <c r="AI38" s="97"/>
    </row>
    <row r="39" spans="1:35" ht="16" thickTop="1">
      <c r="A39" s="29"/>
      <c r="B39" s="16"/>
      <c r="C39" s="42"/>
      <c r="D39" s="60">
        <f ca="1">TODAY()-C39</f>
        <v>43138</v>
      </c>
      <c r="E39" s="113" t="s">
        <v>76</v>
      </c>
      <c r="F39" s="59">
        <f ca="1">G39*0.000568181818</f>
        <v>-1.2427401132386871E-58</v>
      </c>
      <c r="G39" s="19">
        <f ca="1">H39*1.0936113</f>
        <v>-2.1872226000000002E-55</v>
      </c>
      <c r="H39" s="20">
        <f ca="1">IF(TODAY()&gt;=B32,(AA38-AA29)*1000,-2E-55)</f>
        <v>-2E-55</v>
      </c>
      <c r="I39" s="152"/>
      <c r="J39" s="218" t="s">
        <v>137</v>
      </c>
      <c r="K39" s="155"/>
      <c r="L39" s="219" t="s">
        <v>138</v>
      </c>
      <c r="M39" s="155"/>
      <c r="N39" s="331" t="s">
        <v>139</v>
      </c>
      <c r="O39" s="259" t="str">
        <f t="shared" si="3"/>
        <v/>
      </c>
      <c r="P39" s="260"/>
      <c r="Q39" s="169">
        <f t="shared" si="4"/>
        <v>0</v>
      </c>
      <c r="R39" s="350"/>
      <c r="S39" s="368" t="str">
        <f t="shared" si="12"/>
        <v/>
      </c>
      <c r="T39" s="350"/>
      <c r="U39" s="350"/>
      <c r="V39" s="350"/>
      <c r="W39" s="350"/>
      <c r="X39" s="234"/>
      <c r="Y39" s="234"/>
      <c r="Z39" s="234"/>
      <c r="AA39" s="348">
        <f t="shared" si="8"/>
        <v>0</v>
      </c>
      <c r="AB39" s="274">
        <f t="shared" si="13"/>
        <v>0</v>
      </c>
      <c r="AC39" s="97"/>
      <c r="AD39" s="97"/>
      <c r="AE39" s="97"/>
      <c r="AF39" s="97"/>
      <c r="AG39" s="97"/>
      <c r="AH39" s="97"/>
      <c r="AI39" s="97"/>
    </row>
    <row r="40" spans="1:35" ht="16" thickBot="1">
      <c r="A40" s="28"/>
      <c r="B40" s="17"/>
      <c r="C40" s="39"/>
      <c r="D40" s="61">
        <f ca="1">TODAY()-C40</f>
        <v>43138</v>
      </c>
      <c r="E40" s="116" t="s">
        <v>33</v>
      </c>
      <c r="F40" s="62">
        <f>G40*0.0005681818</f>
        <v>11.939625259693345</v>
      </c>
      <c r="G40" s="63">
        <f>H40*1.0936113</f>
        <v>21013.741129500002</v>
      </c>
      <c r="H40" s="6">
        <f>INT(SUM($O32:$O38))</f>
        <v>19215</v>
      </c>
      <c r="I40" s="153"/>
      <c r="J40" s="156"/>
      <c r="K40" s="157"/>
      <c r="L40" s="217">
        <f>COUNT(S5:S51)-COUNT(V5:V51)</f>
        <v>0</v>
      </c>
      <c r="M40" s="157"/>
      <c r="N40" s="157"/>
      <c r="O40" s="259" t="str">
        <f t="shared" si="3"/>
        <v/>
      </c>
      <c r="P40" s="260"/>
      <c r="Q40" s="169">
        <f t="shared" si="4"/>
        <v>0</v>
      </c>
      <c r="R40" s="351"/>
      <c r="S40" s="368" t="str">
        <f t="shared" si="12"/>
        <v/>
      </c>
      <c r="T40" s="351"/>
      <c r="U40" s="351"/>
      <c r="V40" s="351"/>
      <c r="W40" s="351"/>
      <c r="X40" s="234"/>
      <c r="Y40" s="234"/>
      <c r="Z40" s="234"/>
      <c r="AA40" s="348">
        <f t="shared" si="8"/>
        <v>0</v>
      </c>
      <c r="AB40" s="274">
        <f t="shared" si="13"/>
        <v>0</v>
      </c>
      <c r="AC40" s="97"/>
      <c r="AD40" s="97"/>
      <c r="AE40" s="97"/>
      <c r="AF40" s="97"/>
      <c r="AG40" s="97"/>
      <c r="AH40" s="97"/>
      <c r="AI40" s="97"/>
    </row>
    <row r="41" spans="1:35" ht="16" thickTop="1">
      <c r="A41" s="1" t="s">
        <v>12</v>
      </c>
      <c r="B41" s="57">
        <f t="shared" ref="B41:B47" si="45">IF(B$3&lt;C41,0,C41)</f>
        <v>43276</v>
      </c>
      <c r="C41" s="40">
        <f>C38+1</f>
        <v>43276</v>
      </c>
      <c r="D41" s="22">
        <f t="shared" ca="1" si="1"/>
        <v>-138</v>
      </c>
      <c r="E41" s="118" t="str">
        <f>IF(B41=0,"","Monday")</f>
        <v>Monday</v>
      </c>
      <c r="F41" s="55"/>
      <c r="G41" s="56"/>
      <c r="H41" s="56"/>
      <c r="I41" s="200"/>
      <c r="J41" s="128"/>
      <c r="K41" s="201" t="str">
        <f t="shared" ref="K41" si="46">IF(R41=0,"",IF(L41="","",J41))</f>
        <v/>
      </c>
      <c r="L41" s="128"/>
      <c r="M41" s="56" t="str">
        <f>IF(R41=0,"",IF(J41="","",L41))</f>
        <v/>
      </c>
      <c r="N41" s="330"/>
      <c r="O41" s="259">
        <f t="shared" si="3"/>
        <v>2745.0091555846134</v>
      </c>
      <c r="P41" s="260">
        <f t="shared" ref="P41:P47" si="47">H$56</f>
        <v>82349.027466753847</v>
      </c>
      <c r="Q41" s="169">
        <f t="shared" si="4"/>
        <v>51.169313438004977</v>
      </c>
      <c r="R41" s="169">
        <f>IF(R$2=3,H41+G41/1.0936133+F41/0.0006213712,IF(R$2=2,H41*1.0936133+G41+F41/0.0005681818,IF(R$2=1,H41*0.0005681818*1.0936133+G41*0.0005681818+F41,"")))</f>
        <v>0</v>
      </c>
      <c r="S41" s="368" t="str">
        <f t="shared" si="12"/>
        <v/>
      </c>
      <c r="T41" s="169"/>
      <c r="U41" s="169"/>
      <c r="V41" s="170" t="str">
        <f t="shared" ref="V41:V47" si="48">IF(L41="","",IF(R41=0,"",IF(B41=0,"",IF($R$2=3,R41/L41*60/1000,IF($R$2=2,R41/L41*60/1760,IF($R$2=1,R41/L41*60,""))))))</f>
        <v/>
      </c>
      <c r="W41" s="170" t="str">
        <f t="shared" ref="W41:W47" si="49">IF(R41=0,"",IF(L41="","",V41*L41))</f>
        <v/>
      </c>
      <c r="X41" s="259">
        <f>F41+X38</f>
        <v>0</v>
      </c>
      <c r="Y41" s="259">
        <f>G41+Y38</f>
        <v>0</v>
      </c>
      <c r="Z41" s="259">
        <f>H41+Z38</f>
        <v>0</v>
      </c>
      <c r="AA41" s="348">
        <f t="shared" si="8"/>
        <v>0</v>
      </c>
      <c r="AB41" s="274">
        <f t="shared" si="13"/>
        <v>0</v>
      </c>
      <c r="AC41" s="97"/>
      <c r="AD41" s="97"/>
      <c r="AE41" s="97"/>
      <c r="AF41" s="97"/>
      <c r="AG41" s="97"/>
      <c r="AH41" s="97"/>
      <c r="AI41" s="97"/>
    </row>
    <row r="42" spans="1:35">
      <c r="A42" s="1"/>
      <c r="B42" s="5">
        <f t="shared" si="45"/>
        <v>43277</v>
      </c>
      <c r="C42" s="38">
        <f t="shared" ref="C42:C47" si="50">C41+1</f>
        <v>43277</v>
      </c>
      <c r="D42" s="7">
        <f t="shared" ca="1" si="1"/>
        <v>-139</v>
      </c>
      <c r="E42" s="114" t="str">
        <f>IF(B42=0,"","Tuesday")</f>
        <v>Tuesday</v>
      </c>
      <c r="F42" s="55"/>
      <c r="G42" s="56"/>
      <c r="H42" s="56"/>
      <c r="I42" s="200"/>
      <c r="J42" s="56"/>
      <c r="K42" s="201" t="str">
        <f>IF(R42=0,"",IF(L42="","",J42))</f>
        <v/>
      </c>
      <c r="L42" s="56"/>
      <c r="M42" s="56" t="str">
        <f t="shared" ref="M42:M47" si="51">IF(R42=0,"",IF(J42="","",L42))</f>
        <v/>
      </c>
      <c r="N42" s="324"/>
      <c r="O42" s="259">
        <f t="shared" si="3"/>
        <v>2745.0091555846134</v>
      </c>
      <c r="P42" s="260">
        <f t="shared" si="47"/>
        <v>82349.027466753847</v>
      </c>
      <c r="Q42" s="169">
        <f t="shared" si="4"/>
        <v>51.169313438004977</v>
      </c>
      <c r="R42" s="169">
        <f t="shared" ref="R42:R47" si="52">IF(R$2=3,H42+G42/1.0936133+F42/0.0006213712,IF(R$2=2,H42*1.0936133+G42+F42/0.0005681818,IF(R$2=1,H42*0.0005681818*1.0936133+G42*0.0005681818+F42,"")))</f>
        <v>0</v>
      </c>
      <c r="S42" s="368" t="str">
        <f t="shared" si="12"/>
        <v/>
      </c>
      <c r="T42" s="169"/>
      <c r="U42" s="169"/>
      <c r="V42" s="170" t="str">
        <f t="shared" si="48"/>
        <v/>
      </c>
      <c r="W42" s="170" t="str">
        <f t="shared" si="49"/>
        <v/>
      </c>
      <c r="X42" s="259">
        <f t="shared" ref="X42:Z47" si="53">F42+X41</f>
        <v>0</v>
      </c>
      <c r="Y42" s="259">
        <f t="shared" si="53"/>
        <v>0</v>
      </c>
      <c r="Z42" s="259">
        <f t="shared" si="53"/>
        <v>0</v>
      </c>
      <c r="AA42" s="348">
        <f t="shared" si="8"/>
        <v>0</v>
      </c>
      <c r="AB42" s="274">
        <f t="shared" si="13"/>
        <v>0</v>
      </c>
      <c r="AC42" s="97"/>
      <c r="AD42" s="97"/>
      <c r="AE42" s="97"/>
      <c r="AF42" s="97"/>
      <c r="AG42" s="97"/>
      <c r="AH42" s="97"/>
      <c r="AI42" s="97"/>
    </row>
    <row r="43" spans="1:35">
      <c r="A43" s="1"/>
      <c r="B43" s="5">
        <f t="shared" si="45"/>
        <v>43278</v>
      </c>
      <c r="C43" s="38">
        <f t="shared" si="50"/>
        <v>43278</v>
      </c>
      <c r="D43" s="7">
        <f t="shared" ca="1" si="1"/>
        <v>-140</v>
      </c>
      <c r="E43" s="114" t="str">
        <f>IF(B43=0,"","Wednesday")</f>
        <v>Wednesday</v>
      </c>
      <c r="F43" s="55"/>
      <c r="G43" s="56"/>
      <c r="H43" s="56"/>
      <c r="I43" s="200"/>
      <c r="J43" s="56"/>
      <c r="K43" s="201" t="str">
        <f t="shared" ref="K43:K47" si="54">IF(R43=0,"",IF(L43="","",J43))</f>
        <v/>
      </c>
      <c r="L43" s="56"/>
      <c r="M43" s="56" t="str">
        <f t="shared" si="51"/>
        <v/>
      </c>
      <c r="N43" s="324"/>
      <c r="O43" s="259">
        <f t="shared" si="3"/>
        <v>2745.0091555846134</v>
      </c>
      <c r="P43" s="260">
        <f t="shared" si="47"/>
        <v>82349.027466753847</v>
      </c>
      <c r="Q43" s="169">
        <f t="shared" si="4"/>
        <v>51.169313438004977</v>
      </c>
      <c r="R43" s="169">
        <f t="shared" si="52"/>
        <v>0</v>
      </c>
      <c r="S43" s="368" t="str">
        <f t="shared" si="12"/>
        <v/>
      </c>
      <c r="T43" s="169"/>
      <c r="U43" s="169"/>
      <c r="V43" s="170" t="str">
        <f t="shared" si="48"/>
        <v/>
      </c>
      <c r="W43" s="170" t="str">
        <f t="shared" si="49"/>
        <v/>
      </c>
      <c r="X43" s="259">
        <f t="shared" si="53"/>
        <v>0</v>
      </c>
      <c r="Y43" s="259">
        <f t="shared" si="53"/>
        <v>0</v>
      </c>
      <c r="Z43" s="259">
        <f t="shared" si="53"/>
        <v>0</v>
      </c>
      <c r="AA43" s="348">
        <f t="shared" si="8"/>
        <v>0</v>
      </c>
      <c r="AB43" s="274">
        <f t="shared" si="13"/>
        <v>0</v>
      </c>
      <c r="AC43" s="97"/>
      <c r="AD43" s="97"/>
      <c r="AE43" s="97"/>
      <c r="AF43" s="97"/>
      <c r="AG43" s="97"/>
      <c r="AH43" s="97"/>
      <c r="AI43" s="97"/>
    </row>
    <row r="44" spans="1:35">
      <c r="A44" s="1"/>
      <c r="B44" s="5">
        <f t="shared" si="45"/>
        <v>43279</v>
      </c>
      <c r="C44" s="38">
        <f t="shared" si="50"/>
        <v>43279</v>
      </c>
      <c r="D44" s="7">
        <f t="shared" ca="1" si="1"/>
        <v>-141</v>
      </c>
      <c r="E44" s="114" t="str">
        <f>IF(B44=0,"","Thursday")</f>
        <v>Thursday</v>
      </c>
      <c r="F44" s="55"/>
      <c r="G44" s="56"/>
      <c r="H44" s="56"/>
      <c r="I44" s="200"/>
      <c r="J44" s="56"/>
      <c r="K44" s="201" t="str">
        <f t="shared" si="54"/>
        <v/>
      </c>
      <c r="L44" s="56"/>
      <c r="M44" s="56" t="str">
        <f t="shared" si="51"/>
        <v/>
      </c>
      <c r="N44" s="324"/>
      <c r="O44" s="259">
        <f t="shared" si="3"/>
        <v>2745.0091555846134</v>
      </c>
      <c r="P44" s="260">
        <f t="shared" si="47"/>
        <v>82349.027466753847</v>
      </c>
      <c r="Q44" s="169">
        <f t="shared" si="4"/>
        <v>51.169313438004977</v>
      </c>
      <c r="R44" s="169">
        <f t="shared" si="52"/>
        <v>0</v>
      </c>
      <c r="S44" s="368" t="str">
        <f t="shared" si="12"/>
        <v/>
      </c>
      <c r="T44" s="169"/>
      <c r="U44" s="169"/>
      <c r="V44" s="170" t="str">
        <f t="shared" si="48"/>
        <v/>
      </c>
      <c r="W44" s="170" t="str">
        <f t="shared" si="49"/>
        <v/>
      </c>
      <c r="X44" s="259">
        <f t="shared" si="53"/>
        <v>0</v>
      </c>
      <c r="Y44" s="259">
        <f t="shared" si="53"/>
        <v>0</v>
      </c>
      <c r="Z44" s="259">
        <f t="shared" si="53"/>
        <v>0</v>
      </c>
      <c r="AA44" s="348">
        <f t="shared" si="8"/>
        <v>0</v>
      </c>
      <c r="AB44" s="274">
        <f t="shared" si="13"/>
        <v>0</v>
      </c>
      <c r="AC44" s="97"/>
      <c r="AD44" s="97"/>
      <c r="AE44" s="97"/>
      <c r="AF44" s="97"/>
      <c r="AG44" s="97"/>
      <c r="AH44" s="97"/>
      <c r="AI44" s="97"/>
    </row>
    <row r="45" spans="1:35">
      <c r="A45" s="1"/>
      <c r="B45" s="5">
        <f t="shared" si="45"/>
        <v>43280</v>
      </c>
      <c r="C45" s="38">
        <f t="shared" si="50"/>
        <v>43280</v>
      </c>
      <c r="D45" s="7">
        <f t="shared" ca="1" si="1"/>
        <v>-142</v>
      </c>
      <c r="E45" s="114" t="str">
        <f>IF(B45=0,"","Friday")</f>
        <v>Friday</v>
      </c>
      <c r="F45" s="55"/>
      <c r="G45" s="56"/>
      <c r="H45" s="56"/>
      <c r="I45" s="200"/>
      <c r="J45" s="56"/>
      <c r="K45" s="201" t="str">
        <f t="shared" si="54"/>
        <v/>
      </c>
      <c r="L45" s="56"/>
      <c r="M45" s="56" t="str">
        <f t="shared" si="51"/>
        <v/>
      </c>
      <c r="N45" s="324"/>
      <c r="O45" s="259">
        <f t="shared" si="3"/>
        <v>2745.0091555846134</v>
      </c>
      <c r="P45" s="260">
        <f t="shared" si="47"/>
        <v>82349.027466753847</v>
      </c>
      <c r="Q45" s="169">
        <f t="shared" si="4"/>
        <v>51.169313438004977</v>
      </c>
      <c r="R45" s="169">
        <f t="shared" si="52"/>
        <v>0</v>
      </c>
      <c r="S45" s="368" t="str">
        <f t="shared" si="12"/>
        <v/>
      </c>
      <c r="T45" s="169"/>
      <c r="U45" s="169"/>
      <c r="V45" s="170" t="str">
        <f t="shared" si="48"/>
        <v/>
      </c>
      <c r="W45" s="170" t="str">
        <f t="shared" si="49"/>
        <v/>
      </c>
      <c r="X45" s="259">
        <f t="shared" si="53"/>
        <v>0</v>
      </c>
      <c r="Y45" s="259">
        <f t="shared" si="53"/>
        <v>0</v>
      </c>
      <c r="Z45" s="259">
        <f t="shared" si="53"/>
        <v>0</v>
      </c>
      <c r="AA45" s="348">
        <f t="shared" si="8"/>
        <v>0</v>
      </c>
      <c r="AB45" s="274">
        <f t="shared" si="13"/>
        <v>0</v>
      </c>
      <c r="AC45" s="97"/>
      <c r="AD45" s="97"/>
      <c r="AE45" s="97"/>
      <c r="AF45" s="97"/>
      <c r="AG45" s="97"/>
      <c r="AH45" s="97"/>
      <c r="AI45" s="97"/>
    </row>
    <row r="46" spans="1:35">
      <c r="A46" s="1"/>
      <c r="B46" s="5">
        <f t="shared" si="45"/>
        <v>43281</v>
      </c>
      <c r="C46" s="38">
        <f t="shared" si="50"/>
        <v>43281</v>
      </c>
      <c r="D46" s="7">
        <f t="shared" ca="1" si="1"/>
        <v>-143</v>
      </c>
      <c r="E46" s="114" t="str">
        <f>IF(B46=0,"","Saturday")</f>
        <v>Saturday</v>
      </c>
      <c r="F46" s="55"/>
      <c r="G46" s="56"/>
      <c r="H46" s="56"/>
      <c r="I46" s="200"/>
      <c r="J46" s="56"/>
      <c r="K46" s="201" t="str">
        <f t="shared" si="54"/>
        <v/>
      </c>
      <c r="L46" s="56"/>
      <c r="M46" s="56" t="str">
        <f t="shared" si="51"/>
        <v/>
      </c>
      <c r="N46" s="324"/>
      <c r="O46" s="259">
        <f t="shared" si="3"/>
        <v>2745.0091555846134</v>
      </c>
      <c r="P46" s="260">
        <f t="shared" si="47"/>
        <v>82349.027466753847</v>
      </c>
      <c r="Q46" s="169">
        <f t="shared" si="4"/>
        <v>51.169313438004977</v>
      </c>
      <c r="R46" s="169">
        <f t="shared" si="52"/>
        <v>0</v>
      </c>
      <c r="S46" s="368" t="str">
        <f t="shared" si="12"/>
        <v/>
      </c>
      <c r="T46" s="169"/>
      <c r="U46" s="169"/>
      <c r="V46" s="170" t="str">
        <f t="shared" si="48"/>
        <v/>
      </c>
      <c r="W46" s="170" t="str">
        <f t="shared" si="49"/>
        <v/>
      </c>
      <c r="X46" s="259">
        <f t="shared" si="53"/>
        <v>0</v>
      </c>
      <c r="Y46" s="259">
        <f t="shared" si="53"/>
        <v>0</v>
      </c>
      <c r="Z46" s="259">
        <f t="shared" si="53"/>
        <v>0</v>
      </c>
      <c r="AA46" s="348">
        <f t="shared" si="8"/>
        <v>0</v>
      </c>
      <c r="AB46" s="274">
        <f t="shared" si="13"/>
        <v>0</v>
      </c>
      <c r="AC46" s="97"/>
      <c r="AD46" s="97"/>
      <c r="AE46" s="97"/>
      <c r="AF46" s="97"/>
      <c r="AG46" s="97"/>
      <c r="AH46" s="97"/>
      <c r="AI46" s="97"/>
    </row>
    <row r="47" spans="1:35" ht="16" thickBot="1">
      <c r="A47" s="1"/>
      <c r="B47" s="53">
        <f t="shared" si="45"/>
        <v>0</v>
      </c>
      <c r="C47" s="41">
        <f t="shared" si="50"/>
        <v>43282</v>
      </c>
      <c r="D47" s="54">
        <f t="shared" ca="1" si="1"/>
        <v>-144</v>
      </c>
      <c r="E47" s="117" t="str">
        <f>IF(B47=0,"","Sunday")</f>
        <v/>
      </c>
      <c r="F47" s="55"/>
      <c r="G47" s="56"/>
      <c r="H47" s="56"/>
      <c r="I47" s="200"/>
      <c r="J47" s="56"/>
      <c r="K47" s="201" t="str">
        <f t="shared" si="54"/>
        <v/>
      </c>
      <c r="L47" s="56"/>
      <c r="M47" s="56" t="str">
        <f t="shared" si="51"/>
        <v/>
      </c>
      <c r="N47" s="329"/>
      <c r="O47" s="259" t="str">
        <f t="shared" si="3"/>
        <v/>
      </c>
      <c r="P47" s="260">
        <f t="shared" si="47"/>
        <v>82349.027466753847</v>
      </c>
      <c r="Q47" s="169">
        <f t="shared" si="4"/>
        <v>51.169313438004977</v>
      </c>
      <c r="R47" s="169">
        <f t="shared" si="52"/>
        <v>0</v>
      </c>
      <c r="S47" s="368" t="str">
        <f t="shared" si="12"/>
        <v/>
      </c>
      <c r="T47" s="169"/>
      <c r="U47" s="169"/>
      <c r="V47" s="170" t="str">
        <f t="shared" si="48"/>
        <v/>
      </c>
      <c r="W47" s="170" t="str">
        <f t="shared" si="49"/>
        <v/>
      </c>
      <c r="X47" s="259">
        <f t="shared" si="53"/>
        <v>0</v>
      </c>
      <c r="Y47" s="259">
        <f t="shared" si="53"/>
        <v>0</v>
      </c>
      <c r="Z47" s="259">
        <f t="shared" si="53"/>
        <v>0</v>
      </c>
      <c r="AA47" s="348">
        <f t="shared" si="8"/>
        <v>0</v>
      </c>
      <c r="AB47" s="274">
        <f t="shared" si="13"/>
        <v>0</v>
      </c>
      <c r="AC47" s="97"/>
      <c r="AD47" s="97"/>
      <c r="AE47" s="97"/>
      <c r="AF47" s="97"/>
      <c r="AG47" s="97"/>
      <c r="AH47" s="97"/>
      <c r="AI47" s="97"/>
    </row>
    <row r="48" spans="1:35" ht="16" thickTop="1">
      <c r="A48" s="29"/>
      <c r="B48" s="16"/>
      <c r="C48" s="42"/>
      <c r="D48" s="60">
        <f ca="1">TODAY()-C48</f>
        <v>43138</v>
      </c>
      <c r="E48" s="113" t="s">
        <v>76</v>
      </c>
      <c r="F48" s="59">
        <f ca="1">G48*0.000568181818</f>
        <v>-1.2427401132386871E-58</v>
      </c>
      <c r="G48" s="19">
        <f ca="1">H48*1.0936113</f>
        <v>-2.1872226000000002E-55</v>
      </c>
      <c r="H48" s="20">
        <f ca="1">IF(SUM(B41:B47)=0,-1E-55,IF(TODAY()&gt;=B$41,(AA47-AA38)*1000,-2E-55))</f>
        <v>-2E-55</v>
      </c>
      <c r="I48" s="152"/>
      <c r="J48" s="432" t="s">
        <v>121</v>
      </c>
      <c r="K48" s="456"/>
      <c r="L48" s="456"/>
      <c r="M48" s="457"/>
      <c r="N48" s="457"/>
      <c r="O48" s="259" t="str">
        <f t="shared" si="3"/>
        <v/>
      </c>
      <c r="P48" s="230"/>
      <c r="Q48" s="169">
        <f t="shared" si="4"/>
        <v>0</v>
      </c>
      <c r="R48" s="350"/>
      <c r="S48" s="368" t="str">
        <f t="shared" si="12"/>
        <v/>
      </c>
      <c r="T48" s="350"/>
      <c r="U48" s="350"/>
      <c r="V48" s="350"/>
      <c r="W48" s="350"/>
      <c r="X48" s="259"/>
      <c r="Y48" s="259" t="str">
        <f>IF(A48=0,"",G48+Y36)</f>
        <v/>
      </c>
      <c r="Z48" s="259" t="str">
        <f>IF(B48=0,"",H48+Z36)</f>
        <v/>
      </c>
      <c r="AA48" s="348"/>
      <c r="AB48" s="274">
        <f t="shared" si="13"/>
        <v>0</v>
      </c>
      <c r="AC48" s="97"/>
      <c r="AD48" s="97"/>
      <c r="AE48" s="97"/>
      <c r="AF48" s="97"/>
      <c r="AG48" s="97"/>
      <c r="AH48" s="97"/>
      <c r="AI48" s="97"/>
    </row>
    <row r="49" spans="1:54" ht="19" thickBot="1">
      <c r="A49" s="28"/>
      <c r="B49" s="17"/>
      <c r="C49" s="39"/>
      <c r="D49" s="61">
        <f ca="1">TODAY()-C49</f>
        <v>43138</v>
      </c>
      <c r="E49" s="116" t="s">
        <v>33</v>
      </c>
      <c r="F49" s="62">
        <f>G49*0.0005681818</f>
        <v>10.23396450830858</v>
      </c>
      <c r="G49" s="63">
        <f>H49*1.0936113</f>
        <v>18011.778111</v>
      </c>
      <c r="H49" s="6">
        <f>INT(SUM($O41:$O47))</f>
        <v>16470</v>
      </c>
      <c r="I49" s="153"/>
      <c r="J49" s="434" t="str">
        <f>IF(R$2=1,"MILES",IF(R$2=2,"YARDS",IF(R$2=3,"METRES","????")))</f>
        <v>MILES</v>
      </c>
      <c r="K49" s="441"/>
      <c r="L49" s="441"/>
      <c r="M49" s="442"/>
      <c r="N49" s="442"/>
      <c r="O49" s="259" t="str">
        <f t="shared" si="3"/>
        <v/>
      </c>
      <c r="P49" s="234"/>
      <c r="Q49" s="169">
        <f t="shared" si="4"/>
        <v>0</v>
      </c>
      <c r="R49" s="351"/>
      <c r="S49" s="368" t="str">
        <f t="shared" si="12"/>
        <v/>
      </c>
      <c r="T49" s="351"/>
      <c r="U49" s="351"/>
      <c r="V49" s="351"/>
      <c r="W49" s="351"/>
      <c r="X49" s="259"/>
      <c r="Y49" s="259" t="str">
        <f>IF(A49=0,"",G49+Y37)</f>
        <v/>
      </c>
      <c r="Z49" s="259" t="str">
        <f>IF(B49=0,"",H49+Z37)</f>
        <v/>
      </c>
      <c r="AA49" s="348"/>
      <c r="AB49" s="274">
        <f t="shared" si="13"/>
        <v>0</v>
      </c>
      <c r="AC49" s="288"/>
      <c r="AD49" s="288"/>
      <c r="AE49" s="288"/>
      <c r="AF49" s="288"/>
      <c r="AG49" s="288"/>
      <c r="AH49" s="288"/>
      <c r="AI49" s="288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</row>
    <row r="50" spans="1:54" ht="16" thickTop="1">
      <c r="A50" s="1" t="s">
        <v>22</v>
      </c>
      <c r="B50" s="57">
        <f t="shared" ref="B50:B51" si="55">IF(B$3&lt;C50,0,C50)</f>
        <v>0</v>
      </c>
      <c r="C50" s="40">
        <f>C47+1</f>
        <v>43283</v>
      </c>
      <c r="D50" s="22">
        <f t="shared" ca="1" si="1"/>
        <v>-145</v>
      </c>
      <c r="E50" s="118" t="str">
        <f>IF(B50=0,"","Monday")</f>
        <v/>
      </c>
      <c r="F50" s="55"/>
      <c r="G50" s="56"/>
      <c r="H50" s="56"/>
      <c r="I50" s="200"/>
      <c r="J50" s="128"/>
      <c r="K50" s="201" t="str">
        <f t="shared" ref="K50" si="56">IF(R50=0,"",IF(L50="","",J50))</f>
        <v/>
      </c>
      <c r="L50" s="128"/>
      <c r="M50" s="56" t="str">
        <f>IF(R50=0,"",IF(J50="","",L50))</f>
        <v/>
      </c>
      <c r="N50" s="330"/>
      <c r="O50" s="259" t="str">
        <f t="shared" si="3"/>
        <v/>
      </c>
      <c r="P50" s="260">
        <f>H$56</f>
        <v>82349.027466753847</v>
      </c>
      <c r="Q50" s="169">
        <f t="shared" si="4"/>
        <v>51.169313438004977</v>
      </c>
      <c r="R50" s="169">
        <f>IF(R$2=3,H50+G50/1.0936133+F50/0.0006213712,IF(R$2=2,H50*1.0936133+G50+F50/0.0005681818,IF(R$2=1,H50*0.0005681818*1.0936133+G50*0.0005681818+F50,"")))</f>
        <v>0</v>
      </c>
      <c r="S50" s="368" t="str">
        <f t="shared" si="12"/>
        <v/>
      </c>
      <c r="T50" s="169"/>
      <c r="U50" s="169"/>
      <c r="V50" s="170" t="str">
        <f>IF(L50="","",IF(R50=0,"",IF(B50=0,"",IF($R$2=3,R50/L50*60/1000,IF($R$2=2,R50/L50*60/1760,IF($R$2=1,R50/L50*60,""))))))</f>
        <v/>
      </c>
      <c r="W50" s="170" t="str">
        <f>IF(R50=0,"",IF(L50="","",V50*L50))</f>
        <v/>
      </c>
      <c r="X50" s="259">
        <f>F50+X47</f>
        <v>0</v>
      </c>
      <c r="Y50" s="259">
        <f>G50+Y47</f>
        <v>0</v>
      </c>
      <c r="Z50" s="259">
        <f>H50+Z47</f>
        <v>0</v>
      </c>
      <c r="AA50" s="348">
        <f t="shared" si="8"/>
        <v>0</v>
      </c>
      <c r="AB50" s="274">
        <f t="shared" si="13"/>
        <v>0</v>
      </c>
      <c r="AC50" s="97"/>
      <c r="AD50" s="97"/>
      <c r="AE50" s="97"/>
      <c r="AF50" s="97"/>
      <c r="AG50" s="97"/>
      <c r="AH50" s="97"/>
      <c r="AI50" s="97"/>
    </row>
    <row r="51" spans="1:54" ht="16" thickBot="1">
      <c r="A51" s="1"/>
      <c r="B51" s="5">
        <f t="shared" si="55"/>
        <v>0</v>
      </c>
      <c r="C51" s="38">
        <f t="shared" ref="C51" si="57">C50+1</f>
        <v>43284</v>
      </c>
      <c r="D51" s="7">
        <f t="shared" ca="1" si="1"/>
        <v>-146</v>
      </c>
      <c r="E51" s="114" t="str">
        <f>IF(B51=0,"","Tuesday")</f>
        <v/>
      </c>
      <c r="F51" s="55"/>
      <c r="G51" s="56"/>
      <c r="H51" s="56"/>
      <c r="I51" s="200"/>
      <c r="J51" s="56"/>
      <c r="K51" s="201" t="str">
        <f>IF(R51=0,"",IF(L51="","",J51))</f>
        <v/>
      </c>
      <c r="L51" s="56"/>
      <c r="M51" s="56" t="str">
        <f t="shared" ref="M51" si="58">IF(R51=0,"",IF(J51="","",L51))</f>
        <v/>
      </c>
      <c r="N51" s="329"/>
      <c r="O51" s="259" t="str">
        <f t="shared" si="3"/>
        <v/>
      </c>
      <c r="P51" s="260">
        <f>H$56</f>
        <v>82349.027466753847</v>
      </c>
      <c r="Q51" s="169">
        <f t="shared" si="4"/>
        <v>51.169313438004977</v>
      </c>
      <c r="R51" s="169">
        <f>IF(R$2=3,H51+G51/1.0936133+F51/0.0006213712,IF(R$2=2,H51*1.0936133+G51+F51/0.0005681818,IF(R$2=1,H51*0.0005681818*1.0936133+G51*0.0005681818+F51,"")))</f>
        <v>0</v>
      </c>
      <c r="S51" s="368" t="str">
        <f t="shared" si="12"/>
        <v/>
      </c>
      <c r="T51" s="169"/>
      <c r="U51" s="169"/>
      <c r="V51" s="170" t="str">
        <f>IF(L51="","",IF(R51=0,"",IF(B51=0,"",IF($R$2=3,R51/L51*60/1000,IF($R$2=2,R51/L51*60/1760,IF($R$2=1,R51/L51*60,""))))))</f>
        <v/>
      </c>
      <c r="W51" s="170" t="str">
        <f>IF(R51=0,"",IF(L51="","",V51*L51))</f>
        <v/>
      </c>
      <c r="X51" s="259">
        <f>F51+X50</f>
        <v>0</v>
      </c>
      <c r="Y51" s="259">
        <f>G51+Y50</f>
        <v>0</v>
      </c>
      <c r="Z51" s="259">
        <f>H51+Z50</f>
        <v>0</v>
      </c>
      <c r="AA51" s="348">
        <f t="shared" si="8"/>
        <v>0</v>
      </c>
      <c r="AB51" s="274">
        <f t="shared" si="13"/>
        <v>0</v>
      </c>
      <c r="AC51" s="97"/>
      <c r="AD51" s="97"/>
      <c r="AE51" s="97"/>
      <c r="AF51" s="97"/>
      <c r="AG51" s="97"/>
      <c r="AH51" s="97"/>
      <c r="AI51" s="97"/>
    </row>
    <row r="52" spans="1:54" ht="17" thickTop="1" thickBot="1">
      <c r="A52" s="29"/>
      <c r="B52" s="16"/>
      <c r="C52" s="42"/>
      <c r="D52" s="60"/>
      <c r="E52" s="113" t="s">
        <v>76</v>
      </c>
      <c r="F52" s="59">
        <f ca="1">G52*0.000568181818</f>
        <v>-6.2137005661934355E-59</v>
      </c>
      <c r="G52" s="19">
        <f ca="1">H52*1.0936113</f>
        <v>-1.0936113000000001E-55</v>
      </c>
      <c r="H52" s="129">
        <f ca="1">IF(SUM(B50:B51)=0,-1E-55,IF(TODAY()&gt;=B50,(AA51-AA47)*1000,-2E-55))</f>
        <v>-9.9999999999999999E-56</v>
      </c>
      <c r="I52" s="137"/>
      <c r="J52" s="422" t="s">
        <v>120</v>
      </c>
      <c r="K52" s="458"/>
      <c r="L52" s="458"/>
      <c r="M52" s="147"/>
      <c r="N52" s="332" t="str">
        <f>IF(R$2=1,"Distance (miles)",IF(R$2=2,"Distance (yds)",IF(R$2=3,"Distance (km)","????")))</f>
        <v>Distance (miles)</v>
      </c>
      <c r="O52" s="259"/>
      <c r="P52" s="234" t="s">
        <v>1</v>
      </c>
      <c r="Q52" s="234" t="s">
        <v>2</v>
      </c>
      <c r="R52" s="234" t="s">
        <v>3</v>
      </c>
      <c r="S52" s="234" t="s">
        <v>4</v>
      </c>
      <c r="T52" s="234" t="s">
        <v>5</v>
      </c>
      <c r="U52" s="234" t="s">
        <v>6</v>
      </c>
      <c r="V52" s="234" t="s">
        <v>7</v>
      </c>
      <c r="W52" s="259"/>
      <c r="X52" s="259"/>
      <c r="Y52" s="259"/>
      <c r="Z52" s="348"/>
      <c r="AA52" s="274"/>
      <c r="AB52" s="226"/>
      <c r="AC52" s="97"/>
      <c r="AD52" s="97"/>
      <c r="AE52" s="97"/>
      <c r="AF52" s="97"/>
      <c r="AG52" s="97"/>
      <c r="AH52" s="97"/>
      <c r="AI52" s="97"/>
    </row>
    <row r="53" spans="1:54" ht="16" thickBot="1">
      <c r="A53" s="28"/>
      <c r="B53" s="17"/>
      <c r="C53" s="39"/>
      <c r="D53" s="61"/>
      <c r="E53" s="116" t="s">
        <v>33</v>
      </c>
      <c r="F53" s="62">
        <f>G53*0.0005681818</f>
        <v>-6.2137003693434006E-59</v>
      </c>
      <c r="G53" s="63">
        <f>H53*1.0936113</f>
        <v>-1.0936113000000001E-55</v>
      </c>
      <c r="H53" s="131">
        <f>IF(SUM($O50:$O51)=0,-1E-55,SUM($O50:$O51))</f>
        <v>-9.9999999999999999E-56</v>
      </c>
      <c r="I53" s="136"/>
      <c r="J53" s="158" t="str">
        <f>'MY STATS'!AF44</f>
        <v/>
      </c>
      <c r="K53" s="159" t="str">
        <f>IF(J53="","x",J53)</f>
        <v>x</v>
      </c>
      <c r="L53" s="206" t="str">
        <f>IF(J53="","",SUMIF(K$5:K$51,K53,M$5:M$51)/1440)</f>
        <v/>
      </c>
      <c r="M53" s="207" t="str">
        <f>IF(J53="","",IF('MY STATS'!$A$15=3,SUMIF(K$5:K$51,J53,R$5:R$51)/1000,SUMIF(K$5:K$51,J53,R$5:R$51)))</f>
        <v/>
      </c>
      <c r="N53" s="333" t="str">
        <f>IF(J53="","",IF('MY STATS'!$A$15=3,SUMIF(J$5:J$51,J53,R$5:R$51)/1000,SUMIF(J$5:J$51,J53,R$5:R$51)))</f>
        <v/>
      </c>
      <c r="O53" s="353" t="s">
        <v>58</v>
      </c>
      <c r="P53" s="234">
        <f t="shared" ref="P53:V53" si="59">COUNTIFS($E$5:$E$51,P52)</f>
        <v>4</v>
      </c>
      <c r="Q53" s="234">
        <f t="shared" si="59"/>
        <v>4</v>
      </c>
      <c r="R53" s="234">
        <f t="shared" si="59"/>
        <v>4</v>
      </c>
      <c r="S53" s="234">
        <f t="shared" si="59"/>
        <v>4</v>
      </c>
      <c r="T53" s="234">
        <f t="shared" si="59"/>
        <v>5</v>
      </c>
      <c r="U53" s="234">
        <f t="shared" si="59"/>
        <v>5</v>
      </c>
      <c r="V53" s="234">
        <f t="shared" si="59"/>
        <v>4</v>
      </c>
      <c r="W53" s="259"/>
      <c r="X53" s="259"/>
      <c r="Y53" s="259"/>
      <c r="Z53" s="348"/>
      <c r="AA53" s="274"/>
      <c r="AB53" s="226"/>
      <c r="AC53" s="97"/>
      <c r="AD53" s="97"/>
      <c r="AE53" s="97"/>
      <c r="AF53" s="97"/>
      <c r="AG53" s="97"/>
      <c r="AH53" s="97"/>
      <c r="AI53" s="97"/>
    </row>
    <row r="54" spans="1:54" ht="17" thickTop="1" thickBot="1">
      <c r="A54" s="11"/>
      <c r="B54" s="11"/>
      <c r="C54" s="11"/>
      <c r="D54" s="11"/>
      <c r="E54" s="11"/>
      <c r="F54" s="11" t="s">
        <v>34</v>
      </c>
      <c r="G54" s="11" t="s">
        <v>35</v>
      </c>
      <c r="H54" s="11" t="s">
        <v>37</v>
      </c>
      <c r="I54" s="135"/>
      <c r="J54" s="160" t="str">
        <f>'MY STATS'!AG44</f>
        <v/>
      </c>
      <c r="K54" s="161" t="str">
        <f t="shared" ref="K54:K59" si="60">IF(J54="","x",J54)</f>
        <v>x</v>
      </c>
      <c r="L54" s="208" t="str">
        <f>IF(J54="","",SUMIF(K$5:K$51,K54,M$5:M$51)/1440)</f>
        <v/>
      </c>
      <c r="M54" s="209" t="str">
        <f>IF(J54="","",IF('MY STATS'!$A$15=3,SUMIF(K$5:K$51,J54,R$5:R$51)/1000,SUMIF(K$5:K$51,J54,R$5:R$51)))</f>
        <v/>
      </c>
      <c r="N54" s="334" t="str">
        <f>IF(J54="","",IF('MY STATS'!$A$15=3,SUMIF(J$5:J$51,J54,R$5:R$51)/1000,SUMIF(J$5:J$51,J54,R$5:R$51)))</f>
        <v/>
      </c>
      <c r="O54" s="353" t="s">
        <v>57</v>
      </c>
      <c r="P54" s="234">
        <f t="shared" ref="P54:V54" ca="1" si="61">COUNTIFS($D$5:$D$51,"&gt;-1",$E$5:$E$51,P52)</f>
        <v>0</v>
      </c>
      <c r="Q54" s="234">
        <f t="shared" ca="1" si="61"/>
        <v>0</v>
      </c>
      <c r="R54" s="234">
        <f t="shared" ca="1" si="61"/>
        <v>0</v>
      </c>
      <c r="S54" s="234">
        <f t="shared" ca="1" si="61"/>
        <v>0</v>
      </c>
      <c r="T54" s="234">
        <f t="shared" ca="1" si="61"/>
        <v>0</v>
      </c>
      <c r="U54" s="234">
        <f t="shared" ca="1" si="61"/>
        <v>0</v>
      </c>
      <c r="V54" s="234">
        <f t="shared" ca="1" si="61"/>
        <v>0</v>
      </c>
      <c r="W54" s="259"/>
      <c r="X54" s="259"/>
      <c r="Y54" s="259"/>
      <c r="Z54" s="348"/>
      <c r="AA54" s="274"/>
      <c r="AB54" s="226"/>
      <c r="AC54" s="97"/>
      <c r="AD54" s="97"/>
      <c r="AE54" s="97"/>
      <c r="AF54" s="97"/>
      <c r="AG54" s="97"/>
      <c r="AH54" s="97"/>
      <c r="AI54" s="97"/>
    </row>
    <row r="55" spans="1:54" ht="16" thickTop="1">
      <c r="A55" s="30"/>
      <c r="B55" s="58"/>
      <c r="C55" s="43"/>
      <c r="D55" s="43"/>
      <c r="E55" s="18" t="s">
        <v>36</v>
      </c>
      <c r="F55" s="88">
        <f>G55*0.000568181818</f>
        <v>0</v>
      </c>
      <c r="G55" s="89">
        <f>H55*1.0936113</f>
        <v>0</v>
      </c>
      <c r="H55" s="132">
        <f>AA$51*1000</f>
        <v>0</v>
      </c>
      <c r="I55" s="138"/>
      <c r="J55" s="160" t="str">
        <f>'MY STATS'!AH44</f>
        <v/>
      </c>
      <c r="K55" s="161" t="str">
        <f t="shared" si="60"/>
        <v>x</v>
      </c>
      <c r="L55" s="208" t="str">
        <f>IF(J55="","",SUMIF(K$5:K$51,K55,M$5:M$51)/1440)</f>
        <v/>
      </c>
      <c r="M55" s="209" t="str">
        <f>IF(J55="","",IF('MY STATS'!$A$15=3,SUMIF(K$5:K$51,J55,R$5:R$51)/1000,SUMIF(K$5:K$51,J55,R$5:R$51)))</f>
        <v/>
      </c>
      <c r="N55" s="334" t="str">
        <f>IF(J55="","",IF('MY STATS'!$A$15=3,SUMIF(J$5:J$51,J55,R$5:R$51)/1000,SUMIF(J$5:J$51,J55,R$5:R$51)))</f>
        <v/>
      </c>
      <c r="O55" s="353" t="s">
        <v>80</v>
      </c>
      <c r="P55" s="234">
        <f t="shared" ref="P55:V55" si="62">COUNTIFS($E$5:$E$51,P52,$R$5:$R$51,"&gt;0")</f>
        <v>0</v>
      </c>
      <c r="Q55" s="234">
        <f t="shared" si="62"/>
        <v>0</v>
      </c>
      <c r="R55" s="234">
        <f t="shared" si="62"/>
        <v>0</v>
      </c>
      <c r="S55" s="234">
        <f t="shared" si="62"/>
        <v>0</v>
      </c>
      <c r="T55" s="234">
        <f t="shared" si="62"/>
        <v>0</v>
      </c>
      <c r="U55" s="234">
        <f t="shared" si="62"/>
        <v>0</v>
      </c>
      <c r="V55" s="234">
        <f t="shared" si="62"/>
        <v>0</v>
      </c>
      <c r="W55" s="259"/>
      <c r="X55" s="259"/>
      <c r="Y55" s="259"/>
      <c r="Z55" s="348"/>
      <c r="AA55" s="274"/>
      <c r="AB55" s="226"/>
      <c r="AC55" s="97"/>
      <c r="AD55" s="97"/>
      <c r="AE55" s="97"/>
      <c r="AF55" s="97"/>
      <c r="AG55" s="97"/>
      <c r="AH55" s="97"/>
      <c r="AI55" s="97"/>
    </row>
    <row r="56" spans="1:54" ht="16" thickBot="1">
      <c r="A56" s="31"/>
      <c r="B56" s="44"/>
      <c r="C56" s="44"/>
      <c r="D56" s="44"/>
      <c r="E56" s="21" t="s">
        <v>51</v>
      </c>
      <c r="F56" s="47">
        <f>G56*0.000568181818</f>
        <v>51.169219859564706</v>
      </c>
      <c r="G56" s="48">
        <f>H56*1.0936113</f>
        <v>90057.826981652383</v>
      </c>
      <c r="H56" s="133">
        <f>SUM(H$53,H40,H31,H22,H49,H13)-1</f>
        <v>82349.027466753847</v>
      </c>
      <c r="I56" s="139"/>
      <c r="J56" s="160" t="str">
        <f>'MY STATS'!AI44</f>
        <v/>
      </c>
      <c r="K56" s="161" t="str">
        <f t="shared" si="60"/>
        <v>x</v>
      </c>
      <c r="L56" s="208" t="str">
        <f>IF(J56="","",SUMIF(K$5:K$51,K56,M$5:M$51)/1440)</f>
        <v/>
      </c>
      <c r="M56" s="209" t="str">
        <f>IF(J56="","",IF('MY STATS'!$A$15=3,SUMIF(K$5:K$51,J56,R$5:R$51)/1000,SUMIF(K$5:K$51,J56,R$5:R$51)))</f>
        <v/>
      </c>
      <c r="N56" s="334" t="str">
        <f>IF(J56="","",IF('MY STATS'!$A$15=3,SUMIF(J$5:J$51,J56,R$5:R$51)/1000,SUMIF(J$5:J$51,J56,R$5:R$51)))</f>
        <v/>
      </c>
      <c r="O56" s="353" t="s">
        <v>136</v>
      </c>
      <c r="P56" s="234"/>
      <c r="Q56" s="234"/>
      <c r="R56" s="234"/>
      <c r="S56" s="234"/>
      <c r="T56" s="234"/>
      <c r="U56" s="234"/>
      <c r="V56" s="234"/>
      <c r="W56" s="259"/>
      <c r="X56" s="259"/>
      <c r="Y56" s="259"/>
      <c r="Z56" s="348"/>
      <c r="AA56" s="274"/>
      <c r="AB56" s="226"/>
      <c r="AC56" s="97"/>
      <c r="AD56" s="97"/>
      <c r="AE56" s="97"/>
      <c r="AF56" s="97"/>
      <c r="AG56" s="97"/>
      <c r="AH56" s="97"/>
      <c r="AI56" s="97"/>
    </row>
    <row r="57" spans="1:54" ht="17" thickTop="1" thickBot="1">
      <c r="A57" s="49"/>
      <c r="B57" s="49"/>
      <c r="C57" s="49"/>
      <c r="D57" s="49"/>
      <c r="E57" s="49"/>
      <c r="F57" s="49"/>
      <c r="G57" s="49"/>
      <c r="H57" s="49"/>
      <c r="I57" s="140"/>
      <c r="J57" s="160" t="str">
        <f>'MY STATS'!AJ44</f>
        <v/>
      </c>
      <c r="K57" s="161" t="str">
        <f>IF(J57="","x",J57)</f>
        <v>x</v>
      </c>
      <c r="L57" s="208" t="str">
        <f>IF(J57="","",SUMIF(K$5:K$51,K57,M$5:M$51)/1440)</f>
        <v/>
      </c>
      <c r="M57" s="209" t="str">
        <f>IF(J57="","",IF('MY STATS'!$A$15=3,SUMIF(K$5:K$51,J57,R$5:R$51)/1000,SUMIF(K$5:K$51,J57,R$5:R$51)))</f>
        <v/>
      </c>
      <c r="N57" s="334" t="str">
        <f>IF(J57="","",IF('MY STATS'!$A$15=3,SUMIF(J$5:J$51,J57,R$5:R$51)/1000,SUMIF(J$5:J$51,J57,R$5:R$51)))</f>
        <v/>
      </c>
      <c r="O57" s="353" t="s">
        <v>126</v>
      </c>
      <c r="P57" s="339">
        <f t="shared" ref="P57:V57" si="63">SUMIF($E$5:$E$51,P52,$S$5:$S$51)</f>
        <v>0</v>
      </c>
      <c r="Q57" s="339">
        <f t="shared" si="63"/>
        <v>0</v>
      </c>
      <c r="R57" s="339">
        <f t="shared" si="63"/>
        <v>0</v>
      </c>
      <c r="S57" s="339">
        <f t="shared" si="63"/>
        <v>0</v>
      </c>
      <c r="T57" s="339">
        <f t="shared" si="63"/>
        <v>0</v>
      </c>
      <c r="U57" s="339">
        <f t="shared" si="63"/>
        <v>0</v>
      </c>
      <c r="V57" s="339">
        <f t="shared" si="63"/>
        <v>0</v>
      </c>
      <c r="W57" s="230"/>
      <c r="X57" s="230"/>
      <c r="Y57" s="230"/>
      <c r="Z57" s="234"/>
      <c r="AA57" s="230"/>
      <c r="AB57" s="226"/>
      <c r="AC57" s="97"/>
      <c r="AD57" s="97"/>
      <c r="AE57" s="97"/>
      <c r="AF57" s="97"/>
      <c r="AG57" s="97"/>
      <c r="AH57" s="97"/>
      <c r="AI57" s="97"/>
    </row>
    <row r="58" spans="1:54" ht="17" thickTop="1" thickBot="1">
      <c r="A58" s="77">
        <f>A1</f>
        <v>6</v>
      </c>
      <c r="B58" s="78"/>
      <c r="C58" s="79"/>
      <c r="D58" s="71"/>
      <c r="E58" s="72" t="s">
        <v>91</v>
      </c>
      <c r="F58" s="90">
        <f>G58*0.000568181818</f>
        <v>0</v>
      </c>
      <c r="G58" s="91">
        <f>H58*1.0936113</f>
        <v>0</v>
      </c>
      <c r="H58" s="92">
        <f>H$55+G$3</f>
        <v>0</v>
      </c>
      <c r="I58" s="140"/>
      <c r="J58" s="162" t="s">
        <v>112</v>
      </c>
      <c r="K58" s="163"/>
      <c r="L58" s="210">
        <f>L59-SUM(L53:L57)</f>
        <v>0</v>
      </c>
      <c r="M58" s="211">
        <f>(M59-SUM(M53:M57))</f>
        <v>0</v>
      </c>
      <c r="N58" s="335">
        <f>(N59-SUM(N53:N57))</f>
        <v>0</v>
      </c>
      <c r="O58" s="353" t="s">
        <v>127</v>
      </c>
      <c r="P58" s="354">
        <f>IF(COUNTIFS($E$5:$E$51,P52,$L$5:$L$51,"&gt;0")=0,0,(SUMIF($E$5:$E$51,P52,$L$5:$L$51)+IF(SUMIF($E$5:$E$51,P52,$R$5:$R$51)=0,-SUMIF($E$5:$E$51,P52,$L$5:$L$51)))/60)</f>
        <v>0</v>
      </c>
      <c r="Q58" s="354">
        <f t="shared" ref="Q58:V58" si="64">IF(COUNTIFS($E$5:$E$51,Q52,$L$5:$L$51,"&gt;0")=0,0,(SUMIF($E$5:$E$51,Q52,$L$5:$L$51)+IF(SUMIF($E$5:$E$51,Q52,$R$5:$R$51)=0,-SUMIF($E$5:$E$51,Q52,$L$5:$L$51)))/60)</f>
        <v>0</v>
      </c>
      <c r="R58" s="354">
        <f t="shared" si="64"/>
        <v>0</v>
      </c>
      <c r="S58" s="354">
        <f t="shared" si="64"/>
        <v>0</v>
      </c>
      <c r="T58" s="354">
        <f t="shared" si="64"/>
        <v>0</v>
      </c>
      <c r="U58" s="354">
        <f t="shared" si="64"/>
        <v>0</v>
      </c>
      <c r="V58" s="354">
        <f t="shared" si="64"/>
        <v>0</v>
      </c>
      <c r="W58" s="230"/>
      <c r="X58" s="230"/>
      <c r="Y58" s="230"/>
      <c r="Z58" s="234"/>
      <c r="AA58" s="230"/>
      <c r="AB58" s="226"/>
      <c r="AC58" s="97"/>
      <c r="AD58" s="97"/>
      <c r="AE58" s="97"/>
      <c r="AF58" s="97"/>
      <c r="AG58" s="97"/>
      <c r="AH58" s="97"/>
      <c r="AI58" s="97"/>
    </row>
    <row r="59" spans="1:54" ht="17" thickTop="1" thickBot="1">
      <c r="A59" s="80">
        <f>A1</f>
        <v>6</v>
      </c>
      <c r="B59" s="81"/>
      <c r="C59" s="82"/>
      <c r="D59" s="73"/>
      <c r="E59" s="74" t="s">
        <v>63</v>
      </c>
      <c r="F59" s="75">
        <f>G59*0.000568181818</f>
        <v>180.99966898720052</v>
      </c>
      <c r="G59" s="76">
        <f>H59*1.0936113</f>
        <v>318559.41751941189</v>
      </c>
      <c r="H59" s="134">
        <f>VLOOKUP($A$1,'MY STATS'!B$29:K$40,10)</f>
        <v>291291.26365045045</v>
      </c>
      <c r="I59" s="138"/>
      <c r="J59" s="164" t="s">
        <v>68</v>
      </c>
      <c r="K59" s="165" t="str">
        <f t="shared" si="60"/>
        <v>total</v>
      </c>
      <c r="L59" s="212">
        <f>(SUM(L5:L51)-L40)/1440</f>
        <v>0</v>
      </c>
      <c r="M59" s="213">
        <f>IF('MY STATS'!$A$15=3,SUM(R5:R51)/1000,SUM(R5:R51))</f>
        <v>0</v>
      </c>
      <c r="N59" s="336">
        <f>IF('MY STATS'!$A$15=3,SUM(R5:R51)/1000,SUM(R5:R51))</f>
        <v>0</v>
      </c>
      <c r="O59" s="353" t="s">
        <v>111</v>
      </c>
      <c r="P59" s="235">
        <f>IFERROR(IF('MY STATS'!$A15=1,P57/P58,IF('MY STATS'!$A15=2,P57/1760/P58,IF('MY STATS'!$A15=3,P57/1000/P58,0))),0)</f>
        <v>0</v>
      </c>
      <c r="Q59" s="235">
        <f>IFERROR(IF('MY STATS'!$A15=1,Q57/Q58,IF('MY STATS'!$A15=2,Q57/1760/Q58,IF('MY STATS'!$A15=3,Q57/1000/Q58,0))),0)</f>
        <v>0</v>
      </c>
      <c r="R59" s="235">
        <f>IFERROR(IF('MY STATS'!$A15=1,R57/R58,IF('MY STATS'!$A15=2,R57/1760/R58,IF('MY STATS'!$A15=3,R57/1000/R58,0))),0)</f>
        <v>0</v>
      </c>
      <c r="S59" s="235">
        <f>IFERROR(IF('MY STATS'!$A15=1,S57/S58,IF('MY STATS'!$A15=2,S57/1760/S58,IF('MY STATS'!$A15=3,S57/1000/S58,0))),0)</f>
        <v>0</v>
      </c>
      <c r="T59" s="235">
        <f>IFERROR(IF('MY STATS'!$A15=1,T57/T58,IF('MY STATS'!$A15=2,T57/1760/T58,IF('MY STATS'!$A15=3,T57/1000/T58,0))),0)</f>
        <v>0</v>
      </c>
      <c r="U59" s="235">
        <f>IFERROR(IF('MY STATS'!$A15=1,U57/U58,IF('MY STATS'!$A15=2,U57/1760/U58,IF('MY STATS'!$A15=3,U57/1000/U58,0))),0)</f>
        <v>0</v>
      </c>
      <c r="V59" s="235">
        <f>IFERROR(IF('MY STATS'!$A15=1,V57/V58,IF('MY STATS'!$A15=2,V57/1760/V58,IF('MY STATS'!$A15=3,V57/1000/V58,0))),0)</f>
        <v>0</v>
      </c>
      <c r="W59" s="230"/>
      <c r="X59" s="230"/>
      <c r="Y59" s="230"/>
      <c r="Z59" s="234"/>
      <c r="AA59" s="230"/>
      <c r="AB59" s="226"/>
      <c r="AC59" s="97"/>
      <c r="AD59" s="97"/>
      <c r="AE59" s="97"/>
      <c r="AF59" s="97"/>
      <c r="AG59" s="97"/>
      <c r="AH59" s="97"/>
      <c r="AI59" s="97"/>
    </row>
    <row r="60" spans="1:54" ht="16" thickTop="1"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</row>
    <row r="61" spans="1:54"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</row>
    <row r="62" spans="1:54" ht="6.75" customHeight="1"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</row>
    <row r="63" spans="1:54"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</row>
    <row r="64" spans="1:54"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</row>
    <row r="65" spans="15:35"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8"/>
      <c r="AB65" s="97"/>
      <c r="AC65" s="97"/>
      <c r="AD65" s="97"/>
      <c r="AE65" s="97"/>
      <c r="AF65" s="97"/>
      <c r="AG65" s="97"/>
      <c r="AH65" s="97"/>
      <c r="AI65" s="97"/>
    </row>
    <row r="66" spans="15:35" s="3" customFormat="1"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8"/>
      <c r="AA66" s="97"/>
      <c r="AB66" s="97"/>
      <c r="AC66" s="97"/>
      <c r="AD66" s="97"/>
      <c r="AE66" s="97"/>
      <c r="AF66" s="97"/>
      <c r="AG66" s="97"/>
      <c r="AH66" s="97"/>
      <c r="AI66" s="97"/>
    </row>
  </sheetData>
  <sheetProtection sheet="1" objects="1" scenarios="1" selectLockedCells="1"/>
  <mergeCells count="8">
    <mergeCell ref="J49:N49"/>
    <mergeCell ref="J52:L52"/>
    <mergeCell ref="J12:N12"/>
    <mergeCell ref="J13:N13"/>
    <mergeCell ref="J21:N22"/>
    <mergeCell ref="J30:N30"/>
    <mergeCell ref="J31:N31"/>
    <mergeCell ref="J48:N48"/>
  </mergeCells>
  <conditionalFormatting sqref="B14:B20 B23:B29 B49:B51 B40:B47 B53 B31:B38 D3 B5:B11">
    <cfRule type="cellIs" dxfId="7998" priority="1374" stopIfTrue="1" operator="notBetween">
      <formula>$B$2</formula>
      <formula>$B$3</formula>
    </cfRule>
  </conditionalFormatting>
  <conditionalFormatting sqref="B14:B20 B23:B29 B49:B51 B40:B47 B53 B31:B38 D3 B5:B11">
    <cfRule type="cellIs" dxfId="7997" priority="1375" operator="greaterThan">
      <formula>$E$3</formula>
    </cfRule>
    <cfRule type="cellIs" dxfId="7996" priority="1376" operator="equal">
      <formula>$E$3</formula>
    </cfRule>
    <cfRule type="cellIs" dxfId="7995" priority="1377" operator="lessThan">
      <formula>$E$3</formula>
    </cfRule>
  </conditionalFormatting>
  <conditionalFormatting sqref="F58:H58 F55:H55">
    <cfRule type="expression" dxfId="7994" priority="1372">
      <formula>$F55&gt;=$F56</formula>
    </cfRule>
  </conditionalFormatting>
  <conditionalFormatting sqref="F5:H10 F14:G20 F23:G29 F38:H38 F41:H47 F11:G11 F32:G37">
    <cfRule type="cellIs" dxfId="7993" priority="1362" stopIfTrue="1" operator="lessThan">
      <formula>0</formula>
    </cfRule>
  </conditionalFormatting>
  <conditionalFormatting sqref="C32:C38 C41:C47 C50:C51 C14:C20 C23:C29 C5:C11">
    <cfRule type="cellIs" dxfId="7992" priority="1367" stopIfTrue="1" operator="notBetween">
      <formula>$B$2</formula>
      <formula>$B$3</formula>
    </cfRule>
  </conditionalFormatting>
  <conditionalFormatting sqref="C41:C47 C50:C51 C32:C38 C14:C20 C23:C29 C5:C11">
    <cfRule type="cellIs" dxfId="7991" priority="1368" operator="greaterThan">
      <formula>$E$3</formula>
    </cfRule>
    <cfRule type="cellIs" dxfId="7990" priority="1369" operator="equal">
      <formula>$E$3</formula>
    </cfRule>
    <cfRule type="cellIs" dxfId="7989" priority="1370" operator="lessThan">
      <formula>$E$3</formula>
    </cfRule>
  </conditionalFormatting>
  <conditionalFormatting sqref="F14:G20 F23:G29 F38:H38 F41:H47 F32:G37">
    <cfRule type="expression" dxfId="7988" priority="1366">
      <formula>$C14&lt;$E$3</formula>
    </cfRule>
  </conditionalFormatting>
  <conditionalFormatting sqref="F5:H10 F14:G20 F23:G29 F38:H38 F41:H47 F11:G11 F32:G37">
    <cfRule type="expression" dxfId="7987" priority="1363">
      <formula>$C5=$E$3</formula>
    </cfRule>
    <cfRule type="expression" dxfId="7986" priority="1364">
      <formula>$C5&lt;$E$3</formula>
    </cfRule>
    <cfRule type="cellIs" dxfId="7985" priority="1365" operator="equal">
      <formula>0</formula>
    </cfRule>
    <cfRule type="expression" dxfId="7984" priority="1371">
      <formula>$C5&gt;$E$3</formula>
    </cfRule>
  </conditionalFormatting>
  <conditionalFormatting sqref="F12:G12">
    <cfRule type="expression" dxfId="7983" priority="1361">
      <formula>$F12&gt;=$F13</formula>
    </cfRule>
  </conditionalFormatting>
  <conditionalFormatting sqref="F21:G21">
    <cfRule type="expression" dxfId="7982" priority="1360">
      <formula>$F21&gt;=$F22</formula>
    </cfRule>
  </conditionalFormatting>
  <conditionalFormatting sqref="F39:H39">
    <cfRule type="expression" dxfId="7981" priority="1359">
      <formula>$F39&gt;=$F40</formula>
    </cfRule>
  </conditionalFormatting>
  <conditionalFormatting sqref="F30:G30">
    <cfRule type="expression" dxfId="7980" priority="1358">
      <formula>$F30&gt;=$F31</formula>
    </cfRule>
  </conditionalFormatting>
  <conditionalFormatting sqref="F48:H48">
    <cfRule type="expression" dxfId="7979" priority="1356" stopIfTrue="1">
      <formula>$H$48=-1E-55</formula>
    </cfRule>
    <cfRule type="expression" dxfId="7978" priority="1357">
      <formula>$F48&gt;=$F49</formula>
    </cfRule>
  </conditionalFormatting>
  <conditionalFormatting sqref="F14:G20 F23:G29 F38:H38 F41:H47 F32:G37">
    <cfRule type="expression" dxfId="7977" priority="1355">
      <formula>$C14&lt;$E$3</formula>
    </cfRule>
  </conditionalFormatting>
  <conditionalFormatting sqref="F14:G20 F5:H10 F23:G29 F38:H38 F41:H47 F11:G11 F32:G37">
    <cfRule type="expression" dxfId="7976" priority="1351">
      <formula>$C5=$E$3</formula>
    </cfRule>
    <cfRule type="expression" dxfId="7975" priority="1352">
      <formula>$C5&lt;$E$3</formula>
    </cfRule>
    <cfRule type="cellIs" dxfId="7974" priority="1353" operator="equal">
      <formula>0</formula>
    </cfRule>
    <cfRule type="expression" dxfId="7973" priority="1354">
      <formula>$C5&gt;$E$3</formula>
    </cfRule>
  </conditionalFormatting>
  <conditionalFormatting sqref="F12:G12">
    <cfRule type="expression" dxfId="7972" priority="1350">
      <formula>$F12&gt;=$F13</formula>
    </cfRule>
  </conditionalFormatting>
  <conditionalFormatting sqref="F21:G21">
    <cfRule type="expression" dxfId="7971" priority="1349">
      <formula>$F21&gt;=$F22</formula>
    </cfRule>
  </conditionalFormatting>
  <conditionalFormatting sqref="F39:H39">
    <cfRule type="expression" dxfId="7970" priority="1348">
      <formula>$F39&gt;=$F40</formula>
    </cfRule>
  </conditionalFormatting>
  <conditionalFormatting sqref="F30:G30">
    <cfRule type="expression" dxfId="7969" priority="1347">
      <formula>$F30&gt;=$F31</formula>
    </cfRule>
  </conditionalFormatting>
  <conditionalFormatting sqref="F48:H48">
    <cfRule type="expression" dxfId="7968" priority="1345" stopIfTrue="1">
      <formula>$E$41=""</formula>
    </cfRule>
    <cfRule type="expression" dxfId="7967" priority="1346">
      <formula>$F48&gt;=$F49</formula>
    </cfRule>
  </conditionalFormatting>
  <conditionalFormatting sqref="F41:H47">
    <cfRule type="expression" dxfId="7966" priority="1344">
      <formula>$E41=""</formula>
    </cfRule>
  </conditionalFormatting>
  <conditionalFormatting sqref="F47:H47">
    <cfRule type="expression" dxfId="7965" priority="1343">
      <formula>$E$46=""</formula>
    </cfRule>
  </conditionalFormatting>
  <conditionalFormatting sqref="F45:H45">
    <cfRule type="expression" dxfId="7964" priority="1342">
      <formula>$E45=""</formula>
    </cfRule>
  </conditionalFormatting>
  <conditionalFormatting sqref="F5:H10 F11:G11">
    <cfRule type="expression" dxfId="7963" priority="1341">
      <formula>$C5&lt;$E$3</formula>
    </cfRule>
  </conditionalFormatting>
  <conditionalFormatting sqref="F5:H10 F11:G11">
    <cfRule type="expression" dxfId="7962" priority="1340">
      <formula>$E5=""</formula>
    </cfRule>
  </conditionalFormatting>
  <conditionalFormatting sqref="F5:H10 F11:G11">
    <cfRule type="expression" dxfId="7961" priority="1336">
      <formula>$C5=$E$3</formula>
    </cfRule>
    <cfRule type="expression" dxfId="7960" priority="1337">
      <formula>$C5&lt;$E$3</formula>
    </cfRule>
    <cfRule type="cellIs" dxfId="7959" priority="1338" operator="equal">
      <formula>0</formula>
    </cfRule>
    <cfRule type="expression" dxfId="7958" priority="1339">
      <formula>$C5&gt;$E$3</formula>
    </cfRule>
  </conditionalFormatting>
  <conditionalFormatting sqref="F5:H10 F11:G11">
    <cfRule type="expression" dxfId="7957" priority="1335">
      <formula>$C5&lt;$E$3</formula>
    </cfRule>
  </conditionalFormatting>
  <conditionalFormatting sqref="F5:H10 F11:G11">
    <cfRule type="expression" dxfId="7956" priority="1334">
      <formula>$E5=""</formula>
    </cfRule>
  </conditionalFormatting>
  <conditionalFormatting sqref="F14:G20">
    <cfRule type="expression" dxfId="7955" priority="1333">
      <formula>$C14&lt;$E$3</formula>
    </cfRule>
  </conditionalFormatting>
  <conditionalFormatting sqref="F14:G20">
    <cfRule type="expression" dxfId="7954" priority="1329">
      <formula>$C14=$E$3</formula>
    </cfRule>
    <cfRule type="expression" dxfId="7953" priority="1330">
      <formula>$C14&lt;$E$3</formula>
    </cfRule>
    <cfRule type="cellIs" dxfId="7952" priority="1331" operator="equal">
      <formula>0</formula>
    </cfRule>
    <cfRule type="expression" dxfId="7951" priority="1332">
      <formula>$C14&gt;$E$3</formula>
    </cfRule>
  </conditionalFormatting>
  <conditionalFormatting sqref="F5:H10 F11:G11">
    <cfRule type="expression" dxfId="7950" priority="1328">
      <formula>$C5&lt;$E$3</formula>
    </cfRule>
  </conditionalFormatting>
  <conditionalFormatting sqref="F5:H10 F11:G11">
    <cfRule type="expression" dxfId="7949" priority="1324">
      <formula>$C5=$E$3</formula>
    </cfRule>
    <cfRule type="expression" dxfId="7948" priority="1325">
      <formula>$C5&lt;$E$3</formula>
    </cfRule>
    <cfRule type="cellIs" dxfId="7947" priority="1326" operator="equal">
      <formula>0</formula>
    </cfRule>
    <cfRule type="expression" dxfId="7946" priority="1327">
      <formula>$C5&gt;$E$3</formula>
    </cfRule>
  </conditionalFormatting>
  <conditionalFormatting sqref="F5:H10 F11:G11">
    <cfRule type="expression" dxfId="7945" priority="1323">
      <formula>$E5=""</formula>
    </cfRule>
  </conditionalFormatting>
  <conditionalFormatting sqref="F5:H10 F11:G11">
    <cfRule type="expression" dxfId="7944" priority="1322">
      <formula>$C5&lt;$E$3</formula>
    </cfRule>
  </conditionalFormatting>
  <conditionalFormatting sqref="F5:H10 F11:G11">
    <cfRule type="expression" dxfId="7943" priority="1321">
      <formula>$E5=""</formula>
    </cfRule>
  </conditionalFormatting>
  <conditionalFormatting sqref="F5:H10 F11:G11">
    <cfRule type="expression" dxfId="7942" priority="1320">
      <formula>$E5=""</formula>
    </cfRule>
  </conditionalFormatting>
  <conditionalFormatting sqref="F5:H10 F11:G11">
    <cfRule type="expression" dxfId="7941" priority="1319">
      <formula>$C5&lt;$E$3</formula>
    </cfRule>
  </conditionalFormatting>
  <conditionalFormatting sqref="F5:H10 F11:G11">
    <cfRule type="expression" dxfId="7940" priority="1318">
      <formula>$E5=""</formula>
    </cfRule>
  </conditionalFormatting>
  <conditionalFormatting sqref="F5:H10 F11:G11">
    <cfRule type="expression" dxfId="7939" priority="1317">
      <formula>$C5&lt;$E$3</formula>
    </cfRule>
  </conditionalFormatting>
  <conditionalFormatting sqref="F5:H10 F11:G11">
    <cfRule type="expression" dxfId="7938" priority="1316">
      <formula>$E5=""</formula>
    </cfRule>
  </conditionalFormatting>
  <conditionalFormatting sqref="F5:H10 F11:G11">
    <cfRule type="expression" dxfId="7937" priority="1315">
      <formula>$C5&lt;$E$3</formula>
    </cfRule>
  </conditionalFormatting>
  <conditionalFormatting sqref="F5:H10 F11:G11">
    <cfRule type="expression" dxfId="7936" priority="1314">
      <formula>$E5=""</formula>
    </cfRule>
  </conditionalFormatting>
  <conditionalFormatting sqref="F14:G20">
    <cfRule type="expression" dxfId="7935" priority="1313">
      <formula>$C14&lt;$E$3</formula>
    </cfRule>
  </conditionalFormatting>
  <conditionalFormatting sqref="F14:G20">
    <cfRule type="expression" dxfId="7934" priority="1309">
      <formula>$C14=$E$3</formula>
    </cfRule>
    <cfRule type="expression" dxfId="7933" priority="1310">
      <formula>$C14&lt;$E$3</formula>
    </cfRule>
    <cfRule type="cellIs" dxfId="7932" priority="1311" operator="equal">
      <formula>0</formula>
    </cfRule>
    <cfRule type="expression" dxfId="7931" priority="1312">
      <formula>$C14&gt;$E$3</formula>
    </cfRule>
  </conditionalFormatting>
  <conditionalFormatting sqref="F14:G20">
    <cfRule type="expression" dxfId="7930" priority="1308">
      <formula>$E14=""</formula>
    </cfRule>
  </conditionalFormatting>
  <conditionalFormatting sqref="F14:G20">
    <cfRule type="expression" dxfId="7929" priority="1307">
      <formula>$C14&lt;$E$3</formula>
    </cfRule>
  </conditionalFormatting>
  <conditionalFormatting sqref="F14:G20">
    <cfRule type="expression" dxfId="7928" priority="1306">
      <formula>$E14=""</formula>
    </cfRule>
  </conditionalFormatting>
  <conditionalFormatting sqref="F14:G20">
    <cfRule type="expression" dxfId="7927" priority="1305">
      <formula>$E14=""</formula>
    </cfRule>
  </conditionalFormatting>
  <conditionalFormatting sqref="F14:G20">
    <cfRule type="expression" dxfId="7926" priority="1304">
      <formula>$C14&lt;$E$3</formula>
    </cfRule>
  </conditionalFormatting>
  <conditionalFormatting sqref="F14:G20">
    <cfRule type="expression" dxfId="7925" priority="1303">
      <formula>$E14=""</formula>
    </cfRule>
  </conditionalFormatting>
  <conditionalFormatting sqref="F14:G20">
    <cfRule type="expression" dxfId="7924" priority="1302">
      <formula>$C14&lt;$E$3</formula>
    </cfRule>
  </conditionalFormatting>
  <conditionalFormatting sqref="F14:G20">
    <cfRule type="expression" dxfId="7923" priority="1301">
      <formula>$E14=""</formula>
    </cfRule>
  </conditionalFormatting>
  <conditionalFormatting sqref="F14:G20">
    <cfRule type="expression" dxfId="7922" priority="1300">
      <formula>$C14&lt;$E$3</formula>
    </cfRule>
  </conditionalFormatting>
  <conditionalFormatting sqref="F14:G20">
    <cfRule type="expression" dxfId="7921" priority="1299">
      <formula>$E14=""</formula>
    </cfRule>
  </conditionalFormatting>
  <conditionalFormatting sqref="F23:G29">
    <cfRule type="expression" dxfId="7920" priority="1298">
      <formula>$C23&lt;$E$3</formula>
    </cfRule>
  </conditionalFormatting>
  <conditionalFormatting sqref="F23:G29">
    <cfRule type="expression" dxfId="7919" priority="1294">
      <formula>$C23=$E$3</formula>
    </cfRule>
    <cfRule type="expression" dxfId="7918" priority="1295">
      <formula>$C23&lt;$E$3</formula>
    </cfRule>
    <cfRule type="cellIs" dxfId="7917" priority="1296" operator="equal">
      <formula>0</formula>
    </cfRule>
    <cfRule type="expression" dxfId="7916" priority="1297">
      <formula>$C23&gt;$E$3</formula>
    </cfRule>
  </conditionalFormatting>
  <conditionalFormatting sqref="F23:G29">
    <cfRule type="expression" dxfId="7915" priority="1293">
      <formula>$C23&lt;$E$3</formula>
    </cfRule>
  </conditionalFormatting>
  <conditionalFormatting sqref="F23:G29">
    <cfRule type="expression" dxfId="7914" priority="1289">
      <formula>$C23=$E$3</formula>
    </cfRule>
    <cfRule type="expression" dxfId="7913" priority="1290">
      <formula>$C23&lt;$E$3</formula>
    </cfRule>
    <cfRule type="cellIs" dxfId="7912" priority="1291" operator="equal">
      <formula>0</formula>
    </cfRule>
    <cfRule type="expression" dxfId="7911" priority="1292">
      <formula>$C23&gt;$E$3</formula>
    </cfRule>
  </conditionalFormatting>
  <conditionalFormatting sqref="F23:G29">
    <cfRule type="expression" dxfId="7910" priority="1288">
      <formula>$E23=""</formula>
    </cfRule>
  </conditionalFormatting>
  <conditionalFormatting sqref="F23:G29">
    <cfRule type="expression" dxfId="7909" priority="1287">
      <formula>$C23&lt;$E$3</formula>
    </cfRule>
  </conditionalFormatting>
  <conditionalFormatting sqref="F23:G29">
    <cfRule type="expression" dxfId="7908" priority="1286">
      <formula>$E23=""</formula>
    </cfRule>
  </conditionalFormatting>
  <conditionalFormatting sqref="F23:G29">
    <cfRule type="expression" dxfId="7907" priority="1285">
      <formula>$E23=""</formula>
    </cfRule>
  </conditionalFormatting>
  <conditionalFormatting sqref="F23:G29">
    <cfRule type="expression" dxfId="7906" priority="1284">
      <formula>$C23&lt;$E$3</formula>
    </cfRule>
  </conditionalFormatting>
  <conditionalFormatting sqref="F23:G29">
    <cfRule type="expression" dxfId="7905" priority="1283">
      <formula>$E23=""</formula>
    </cfRule>
  </conditionalFormatting>
  <conditionalFormatting sqref="F23:G29">
    <cfRule type="expression" dxfId="7904" priority="1282">
      <formula>$C23&lt;$E$3</formula>
    </cfRule>
  </conditionalFormatting>
  <conditionalFormatting sqref="F23:G29">
    <cfRule type="expression" dxfId="7903" priority="1281">
      <formula>$E23=""</formula>
    </cfRule>
  </conditionalFormatting>
  <conditionalFormatting sqref="F23:G29">
    <cfRule type="expression" dxfId="7902" priority="1280">
      <formula>$C23&lt;$E$3</formula>
    </cfRule>
  </conditionalFormatting>
  <conditionalFormatting sqref="F23:G29">
    <cfRule type="expression" dxfId="7901" priority="1279">
      <formula>$E23=""</formula>
    </cfRule>
  </conditionalFormatting>
  <conditionalFormatting sqref="F38:H38 F32:G37">
    <cfRule type="expression" dxfId="7900" priority="1278">
      <formula>$C32&lt;$E$3</formula>
    </cfRule>
  </conditionalFormatting>
  <conditionalFormatting sqref="F38:H38 F32:G37">
    <cfRule type="expression" dxfId="7899" priority="1274">
      <formula>$C32=$E$3</formula>
    </cfRule>
    <cfRule type="expression" dxfId="7898" priority="1275">
      <formula>$C32&lt;$E$3</formula>
    </cfRule>
    <cfRule type="cellIs" dxfId="7897" priority="1276" operator="equal">
      <formula>0</formula>
    </cfRule>
    <cfRule type="expression" dxfId="7896" priority="1277">
      <formula>$C32&gt;$E$3</formula>
    </cfRule>
  </conditionalFormatting>
  <conditionalFormatting sqref="F38:H38 F32:G37">
    <cfRule type="expression" dxfId="7895" priority="1273">
      <formula>$C32&lt;$E$3</formula>
    </cfRule>
  </conditionalFormatting>
  <conditionalFormatting sqref="F38:H38 F32:G37">
    <cfRule type="expression" dxfId="7894" priority="1269">
      <formula>$C32=$E$3</formula>
    </cfRule>
    <cfRule type="expression" dxfId="7893" priority="1270">
      <formula>$C32&lt;$E$3</formula>
    </cfRule>
    <cfRule type="cellIs" dxfId="7892" priority="1271" operator="equal">
      <formula>0</formula>
    </cfRule>
    <cfRule type="expression" dxfId="7891" priority="1272">
      <formula>$C32&gt;$E$3</formula>
    </cfRule>
  </conditionalFormatting>
  <conditionalFormatting sqref="F38:H38 F32:G37">
    <cfRule type="expression" dxfId="7890" priority="1268">
      <formula>$E32=""</formula>
    </cfRule>
  </conditionalFormatting>
  <conditionalFormatting sqref="F38:H38 F32:G37">
    <cfRule type="expression" dxfId="7889" priority="1267">
      <formula>$C32&lt;$E$3</formula>
    </cfRule>
  </conditionalFormatting>
  <conditionalFormatting sqref="F38:H38 F32:G37">
    <cfRule type="expression" dxfId="7888" priority="1266">
      <formula>$E32=""</formula>
    </cfRule>
  </conditionalFormatting>
  <conditionalFormatting sqref="F38:H38 F32:G37">
    <cfRule type="expression" dxfId="7887" priority="1265">
      <formula>$E32=""</formula>
    </cfRule>
  </conditionalFormatting>
  <conditionalFormatting sqref="F38:H38 F32:G37">
    <cfRule type="expression" dxfId="7886" priority="1264">
      <formula>$C32&lt;$E$3</formula>
    </cfRule>
  </conditionalFormatting>
  <conditionalFormatting sqref="F38:H38 F32:G37">
    <cfRule type="expression" dxfId="7885" priority="1263">
      <formula>$E32=""</formula>
    </cfRule>
  </conditionalFormatting>
  <conditionalFormatting sqref="F38:H38 F32:G37">
    <cfRule type="expression" dxfId="7884" priority="1262">
      <formula>$C32&lt;$E$3</formula>
    </cfRule>
  </conditionalFormatting>
  <conditionalFormatting sqref="F38:H38 F32:G37">
    <cfRule type="expression" dxfId="7883" priority="1261">
      <formula>$E32=""</formula>
    </cfRule>
  </conditionalFormatting>
  <conditionalFormatting sqref="F38:H38 F32:G37">
    <cfRule type="expression" dxfId="7882" priority="1260">
      <formula>$C32&lt;$E$3</formula>
    </cfRule>
  </conditionalFormatting>
  <conditionalFormatting sqref="F38:H38 F32:G37">
    <cfRule type="expression" dxfId="7881" priority="1259">
      <formula>$E32=""</formula>
    </cfRule>
  </conditionalFormatting>
  <conditionalFormatting sqref="F41:H47">
    <cfRule type="expression" dxfId="7880" priority="1258">
      <formula>$C41&lt;$E$3</formula>
    </cfRule>
  </conditionalFormatting>
  <conditionalFormatting sqref="F41:H47">
    <cfRule type="expression" dxfId="7879" priority="1254">
      <formula>$C41=$E$3</formula>
    </cfRule>
    <cfRule type="expression" dxfId="7878" priority="1255">
      <formula>$C41&lt;$E$3</formula>
    </cfRule>
    <cfRule type="cellIs" dxfId="7877" priority="1256" operator="equal">
      <formula>0</formula>
    </cfRule>
    <cfRule type="expression" dxfId="7876" priority="1257">
      <formula>$C41&gt;$E$3</formula>
    </cfRule>
  </conditionalFormatting>
  <conditionalFormatting sqref="F41:H47">
    <cfRule type="expression" dxfId="7875" priority="1253">
      <formula>$C41&lt;$E$3</formula>
    </cfRule>
  </conditionalFormatting>
  <conditionalFormatting sqref="F41:H47">
    <cfRule type="expression" dxfId="7874" priority="1249">
      <formula>$C41=$E$3</formula>
    </cfRule>
    <cfRule type="expression" dxfId="7873" priority="1250">
      <formula>$C41&lt;$E$3</formula>
    </cfRule>
    <cfRule type="cellIs" dxfId="7872" priority="1251" operator="equal">
      <formula>0</formula>
    </cfRule>
    <cfRule type="expression" dxfId="7871" priority="1252">
      <formula>$C41&gt;$E$3</formula>
    </cfRule>
  </conditionalFormatting>
  <conditionalFormatting sqref="F41:H47">
    <cfRule type="expression" dxfId="7870" priority="1248">
      <formula>$E41=""</formula>
    </cfRule>
  </conditionalFormatting>
  <conditionalFormatting sqref="F41:H47">
    <cfRule type="expression" dxfId="7869" priority="1247">
      <formula>$C41&lt;$E$3</formula>
    </cfRule>
  </conditionalFormatting>
  <conditionalFormatting sqref="F41:H47">
    <cfRule type="expression" dxfId="7868" priority="1246">
      <formula>$E41=""</formula>
    </cfRule>
  </conditionalFormatting>
  <conditionalFormatting sqref="F41:H47">
    <cfRule type="expression" dxfId="7867" priority="1245">
      <formula>$E41=""</formula>
    </cfRule>
  </conditionalFormatting>
  <conditionalFormatting sqref="F41:H47">
    <cfRule type="expression" dxfId="7866" priority="1244">
      <formula>$C41&lt;$E$3</formula>
    </cfRule>
  </conditionalFormatting>
  <conditionalFormatting sqref="F41:H47">
    <cfRule type="expression" dxfId="7865" priority="1243">
      <formula>$E41=""</formula>
    </cfRule>
  </conditionalFormatting>
  <conditionalFormatting sqref="F41:H47">
    <cfRule type="expression" dxfId="7864" priority="1242">
      <formula>$C41&lt;$E$3</formula>
    </cfRule>
  </conditionalFormatting>
  <conditionalFormatting sqref="F41:H47">
    <cfRule type="expression" dxfId="7863" priority="1241">
      <formula>$E41=""</formula>
    </cfRule>
  </conditionalFormatting>
  <conditionalFormatting sqref="F41:H47">
    <cfRule type="expression" dxfId="7862" priority="1240">
      <formula>$C41&lt;$E$3</formula>
    </cfRule>
  </conditionalFormatting>
  <conditionalFormatting sqref="F41:H47">
    <cfRule type="expression" dxfId="7861" priority="1239">
      <formula>$E41=""</formula>
    </cfRule>
  </conditionalFormatting>
  <conditionalFormatting sqref="F50:H51">
    <cfRule type="cellIs" dxfId="7860" priority="1238" stopIfTrue="1" operator="lessThan">
      <formula>0</formula>
    </cfRule>
  </conditionalFormatting>
  <conditionalFormatting sqref="F50:H51">
    <cfRule type="expression" dxfId="7859" priority="1237">
      <formula>$C50&lt;$E$3</formula>
    </cfRule>
  </conditionalFormatting>
  <conditionalFormatting sqref="F50:H51">
    <cfRule type="expression" dxfId="7858" priority="1233">
      <formula>$C50=$E$3</formula>
    </cfRule>
    <cfRule type="expression" dxfId="7857" priority="1234">
      <formula>$C50&lt;$E$3</formula>
    </cfRule>
    <cfRule type="cellIs" dxfId="7856" priority="1235" operator="equal">
      <formula>0</formula>
    </cfRule>
    <cfRule type="expression" dxfId="7855" priority="1236">
      <formula>$C50&gt;$E$3</formula>
    </cfRule>
  </conditionalFormatting>
  <conditionalFormatting sqref="F50:H51">
    <cfRule type="expression" dxfId="7854" priority="1232">
      <formula>$C50&lt;$E$3</formula>
    </cfRule>
  </conditionalFormatting>
  <conditionalFormatting sqref="F50:H51">
    <cfRule type="expression" dxfId="7853" priority="1228">
      <formula>$C50=$E$3</formula>
    </cfRule>
    <cfRule type="expression" dxfId="7852" priority="1229">
      <formula>$C50&lt;$E$3</formula>
    </cfRule>
    <cfRule type="cellIs" dxfId="7851" priority="1230" operator="equal">
      <formula>0</formula>
    </cfRule>
    <cfRule type="expression" dxfId="7850" priority="1231">
      <formula>$C50&gt;$E$3</formula>
    </cfRule>
  </conditionalFormatting>
  <conditionalFormatting sqref="F50:H51">
    <cfRule type="expression" dxfId="7849" priority="1227">
      <formula>$C50&lt;$E$3</formula>
    </cfRule>
  </conditionalFormatting>
  <conditionalFormatting sqref="F50:H51">
    <cfRule type="expression" dxfId="7848" priority="1223">
      <formula>$C50=$E$3</formula>
    </cfRule>
    <cfRule type="expression" dxfId="7847" priority="1224">
      <formula>$C50&lt;$E$3</formula>
    </cfRule>
    <cfRule type="cellIs" dxfId="7846" priority="1225" operator="equal">
      <formula>0</formula>
    </cfRule>
    <cfRule type="expression" dxfId="7845" priority="1226">
      <formula>$C50&gt;$E$3</formula>
    </cfRule>
  </conditionalFormatting>
  <conditionalFormatting sqref="F50:H51">
    <cfRule type="expression" dxfId="7844" priority="1222">
      <formula>$C50&lt;$E$3</formula>
    </cfRule>
  </conditionalFormatting>
  <conditionalFormatting sqref="F50:H51">
    <cfRule type="expression" dxfId="7843" priority="1218">
      <formula>$C50=$E$3</formula>
    </cfRule>
    <cfRule type="expression" dxfId="7842" priority="1219">
      <formula>$C50&lt;$E$3</formula>
    </cfRule>
    <cfRule type="cellIs" dxfId="7841" priority="1220" operator="equal">
      <formula>0</formula>
    </cfRule>
    <cfRule type="expression" dxfId="7840" priority="1221">
      <formula>$C50&gt;$E$3</formula>
    </cfRule>
  </conditionalFormatting>
  <conditionalFormatting sqref="F50:H51">
    <cfRule type="expression" dxfId="7839" priority="1217">
      <formula>$E50=""</formula>
    </cfRule>
  </conditionalFormatting>
  <conditionalFormatting sqref="F50:H51">
    <cfRule type="expression" dxfId="7838" priority="1216">
      <formula>$C50&lt;$E$3</formula>
    </cfRule>
  </conditionalFormatting>
  <conditionalFormatting sqref="F50:H51">
    <cfRule type="expression" dxfId="7837" priority="1215">
      <formula>$E50=""</formula>
    </cfRule>
  </conditionalFormatting>
  <conditionalFormatting sqref="F50:H51">
    <cfRule type="expression" dxfId="7836" priority="1214">
      <formula>$E50=""</formula>
    </cfRule>
  </conditionalFormatting>
  <conditionalFormatting sqref="F50:H51">
    <cfRule type="expression" dxfId="7835" priority="1213">
      <formula>$C50&lt;$E$3</formula>
    </cfRule>
  </conditionalFormatting>
  <conditionalFormatting sqref="F50:H51">
    <cfRule type="expression" dxfId="7834" priority="1212">
      <formula>$E50=""</formula>
    </cfRule>
  </conditionalFormatting>
  <conditionalFormatting sqref="F50:H51">
    <cfRule type="expression" dxfId="7833" priority="1211">
      <formula>$C50&lt;$E$3</formula>
    </cfRule>
  </conditionalFormatting>
  <conditionalFormatting sqref="F50:H51">
    <cfRule type="expression" dxfId="7832" priority="1210">
      <formula>$E50=""</formula>
    </cfRule>
  </conditionalFormatting>
  <conditionalFormatting sqref="F50:H51">
    <cfRule type="expression" dxfId="7831" priority="1209">
      <formula>$C50&lt;$E$3</formula>
    </cfRule>
  </conditionalFormatting>
  <conditionalFormatting sqref="F50:H51">
    <cfRule type="expression" dxfId="7830" priority="1208">
      <formula>$E50=""</formula>
    </cfRule>
  </conditionalFormatting>
  <conditionalFormatting sqref="E14:E20 E5:E11 E41:E47 E32:E38 E23:E29 E50:E51">
    <cfRule type="containsText" dxfId="7829" priority="1201" operator="containsText" text="Sa">
      <formula>NOT(ISERROR(SEARCH("Sa",E5)))</formula>
    </cfRule>
    <cfRule type="containsText" dxfId="7828" priority="1203" operator="containsText" text="Fr">
      <formula>NOT(ISERROR(SEARCH("Fr",E5)))</formula>
    </cfRule>
    <cfRule type="containsText" dxfId="7827" priority="1204" operator="containsText" text="Th">
      <formula>NOT(ISERROR(SEARCH("Th",E5)))</formula>
    </cfRule>
  </conditionalFormatting>
  <conditionalFormatting sqref="E14:E20 E5:E11 E41:E47 E32:E38 E23:E29 E50:E51">
    <cfRule type="containsText" dxfId="7826" priority="1205" operator="containsText" text="Wed">
      <formula>NOT(ISERROR(SEARCH("Wed",E5)))</formula>
    </cfRule>
    <cfRule type="containsText" dxfId="7825" priority="1206" operator="containsText" text="Tu">
      <formula>NOT(ISERROR(SEARCH("Tu",E5)))</formula>
    </cfRule>
    <cfRule type="beginsWith" dxfId="7824" priority="1207" operator="beginsWith" text="M">
      <formula>LEFT(E5,1)="M"</formula>
    </cfRule>
  </conditionalFormatting>
  <conditionalFormatting sqref="E14:E20 E5:E11 E41:E47 E32:E38 E23:E29 E50:E51">
    <cfRule type="containsText" dxfId="7823" priority="1202" operator="containsText" text="Su">
      <formula>NOT(ISERROR(SEARCH("Su",E5)))</formula>
    </cfRule>
  </conditionalFormatting>
  <conditionalFormatting sqref="C4">
    <cfRule type="cellIs" dxfId="7822" priority="1197" stopIfTrue="1" operator="notBetween">
      <formula>$B$2</formula>
      <formula>$B$3</formula>
    </cfRule>
  </conditionalFormatting>
  <conditionalFormatting sqref="C4">
    <cfRule type="cellIs" dxfId="7821" priority="1198" operator="greaterThan">
      <formula>$E$3</formula>
    </cfRule>
    <cfRule type="cellIs" dxfId="7820" priority="1199" operator="equal">
      <formula>$E$3</formula>
    </cfRule>
    <cfRule type="cellIs" dxfId="7819" priority="1200" operator="lessThan">
      <formula>$E$3</formula>
    </cfRule>
  </conditionalFormatting>
  <conditionalFormatting sqref="J23:J29 J14:J20 J5:J11 J50:J51 L5:N11 L14:M20 L23:M29 J41:J47 L50:N51 J32:J38 L32:M38 N15:N16 N18 L41:N47">
    <cfRule type="cellIs" dxfId="7818" priority="1196" stopIfTrue="1" operator="lessThan">
      <formula>0</formula>
    </cfRule>
  </conditionalFormatting>
  <conditionalFormatting sqref="J5:J11 J50:J51 L5:M11 L50:M51 J14:J20 J23:J29 J41:J47 J32:J38 L14:M20 L23:M29 L32:M38 L41:M47">
    <cfRule type="expression" dxfId="7817" priority="1194">
      <formula>$C5&lt;$E$3</formula>
    </cfRule>
  </conditionalFormatting>
  <conditionalFormatting sqref="J5:J11 J50:J51 L5:M11 L50:M51 J14:J20 J23:J29 J41:J47 J32:J38 L14:M20 L23:M29 L32:M38 L41:M47">
    <cfRule type="expression" dxfId="7816" priority="1191">
      <formula>$C5=$E$3</formula>
    </cfRule>
    <cfRule type="expression" dxfId="7815" priority="1192">
      <formula>$C5&lt;$E$3</formula>
    </cfRule>
    <cfRule type="cellIs" dxfId="7814" priority="1193" operator="equal">
      <formula>0</formula>
    </cfRule>
    <cfRule type="expression" dxfId="7813" priority="1195">
      <formula>$C5&gt;$E$3</formula>
    </cfRule>
  </conditionalFormatting>
  <conditionalFormatting sqref="J5:J11 J50:J51 L5:M11 L50:M51 J14:J20 J23:J29 J41:J47 J32:J38 L14:M20 L23:M29 L32:M38 L41:M47">
    <cfRule type="expression" dxfId="7812" priority="1190">
      <formula>$E5=""</formula>
    </cfRule>
  </conditionalFormatting>
  <conditionalFormatting sqref="J5:J11 J50:J51 L5:M11 L50:M51 J14:J20 J23:J29 J41:J47 J32:J38 L14:M20 L23:M29 L32:M38 L41:M47">
    <cfRule type="expression" dxfId="7811" priority="1189">
      <formula>$E5=""</formula>
    </cfRule>
  </conditionalFormatting>
  <conditionalFormatting sqref="J5:J11 J50:J51 L5:M11 L50:M51 J14:J20 J23:J29 J41:J47 J32:J38 L14:M20 L23:M29 L32:M38 L41:M47">
    <cfRule type="expression" dxfId="7810" priority="1188">
      <formula>$E5=""</formula>
    </cfRule>
  </conditionalFormatting>
  <conditionalFormatting sqref="M5:M11 M14:M20 M23:M29 M32:M38 M41:M47 M50:M51">
    <cfRule type="expression" dxfId="7809" priority="1187">
      <formula>$C5&lt;$E$3</formula>
    </cfRule>
  </conditionalFormatting>
  <conditionalFormatting sqref="M5:M11 M14:M20 M23:M29 M32:M38 M41:M47 M50:M51">
    <cfRule type="expression" dxfId="7808" priority="1183">
      <formula>$C5=$E$3</formula>
    </cfRule>
    <cfRule type="expression" dxfId="7807" priority="1184">
      <formula>$C5&lt;$E$3</formula>
    </cfRule>
    <cfRule type="cellIs" dxfId="7806" priority="1185" operator="equal">
      <formula>0</formula>
    </cfRule>
    <cfRule type="expression" dxfId="7805" priority="1186">
      <formula>$C5&gt;$E$3</formula>
    </cfRule>
  </conditionalFormatting>
  <conditionalFormatting sqref="M5:M11 M14:M20 M23:M29 M32:M38 M41:M47 M50:M51">
    <cfRule type="expression" dxfId="7804" priority="1182">
      <formula>$C5&lt;$E$3</formula>
    </cfRule>
  </conditionalFormatting>
  <conditionalFormatting sqref="M5:M11 M14:M20 M23:M29 M32:M38 M41:M47 M50:M51">
    <cfRule type="expression" dxfId="7803" priority="1178">
      <formula>$C5=$E$3</formula>
    </cfRule>
    <cfRule type="expression" dxfId="7802" priority="1179">
      <formula>$C5&lt;$E$3</formula>
    </cfRule>
    <cfRule type="cellIs" dxfId="7801" priority="1180" operator="equal">
      <formula>0</formula>
    </cfRule>
    <cfRule type="expression" dxfId="7800" priority="1181">
      <formula>$C5&gt;$E$3</formula>
    </cfRule>
  </conditionalFormatting>
  <conditionalFormatting sqref="M5:M11 M14:M20 M23:M29 M32:M38 M41:M47 M50:M51">
    <cfRule type="expression" dxfId="7799" priority="1177">
      <formula>$C5&lt;$E$3</formula>
    </cfRule>
  </conditionalFormatting>
  <conditionalFormatting sqref="M5:M11 M14:M20 M23:M29 M32:M38 M41:M47 M50:M51">
    <cfRule type="expression" dxfId="7798" priority="1173">
      <formula>$C5=$E$3</formula>
    </cfRule>
    <cfRule type="expression" dxfId="7797" priority="1174">
      <formula>$C5&lt;$E$3</formula>
    </cfRule>
    <cfRule type="cellIs" dxfId="7796" priority="1175" operator="equal">
      <formula>0</formula>
    </cfRule>
    <cfRule type="expression" dxfId="7795" priority="1176">
      <formula>$C5&gt;$E$3</formula>
    </cfRule>
  </conditionalFormatting>
  <conditionalFormatting sqref="M5:M11 M14:M20 M23:M29 M32:M38 M41:M47 M50:M51">
    <cfRule type="expression" dxfId="7794" priority="1172">
      <formula>$C5&lt;$E$3</formula>
    </cfRule>
  </conditionalFormatting>
  <conditionalFormatting sqref="M5:M11 M14:M20 M23:M29 M32:M38 M41:M47 M50:M51">
    <cfRule type="expression" dxfId="7793" priority="1168">
      <formula>$C5=$E$3</formula>
    </cfRule>
    <cfRule type="expression" dxfId="7792" priority="1169">
      <formula>$C5&lt;$E$3</formula>
    </cfRule>
    <cfRule type="cellIs" dxfId="7791" priority="1170" operator="equal">
      <formula>0</formula>
    </cfRule>
    <cfRule type="expression" dxfId="7790" priority="1171">
      <formula>$C5&gt;$E$3</formula>
    </cfRule>
  </conditionalFormatting>
  <conditionalFormatting sqref="M5:M11 M14:M20 M23:M29 M32:M38 M41:M47 M50:M51">
    <cfRule type="expression" dxfId="7789" priority="1167">
      <formula>$E5=""</formula>
    </cfRule>
  </conditionalFormatting>
  <conditionalFormatting sqref="M5:M11 M14:M20 M23:M29 M32:M38 M41:M47 M50:M51">
    <cfRule type="expression" dxfId="7788" priority="1166">
      <formula>$C5&lt;$E$3</formula>
    </cfRule>
  </conditionalFormatting>
  <conditionalFormatting sqref="M5:M11 M14:M20 M23:M29 M32:M38 M41:M47 M50:M51">
    <cfRule type="expression" dxfId="7787" priority="1165">
      <formula>$E5=""</formula>
    </cfRule>
  </conditionalFormatting>
  <conditionalFormatting sqref="M5:M11 M14:M20 M23:M29 M32:M38 M41:M47 M50:M51">
    <cfRule type="expression" dxfId="7786" priority="1164">
      <formula>$E5=""</formula>
    </cfRule>
  </conditionalFormatting>
  <conditionalFormatting sqref="M5:M11 M14:M20 M23:M29 M32:M38 M41:M47 M50:M51">
    <cfRule type="expression" dxfId="7785" priority="1163">
      <formula>$C5&lt;$E$3</formula>
    </cfRule>
  </conditionalFormatting>
  <conditionalFormatting sqref="M5:M11 M14:M20 M23:M29 M32:M38 M41:M47 M50:M51">
    <cfRule type="expression" dxfId="7784" priority="1162">
      <formula>$E5=""</formula>
    </cfRule>
  </conditionalFormatting>
  <conditionalFormatting sqref="M5:M11 M14:M20 M23:M29 M32:M38 M41:M47 M50:M51">
    <cfRule type="expression" dxfId="7783" priority="1161">
      <formula>$C5&lt;$E$3</formula>
    </cfRule>
  </conditionalFormatting>
  <conditionalFormatting sqref="M5:M11 M14:M20 M23:M29 M32:M38 M41:M47 M50:M51">
    <cfRule type="expression" dxfId="7782" priority="1160">
      <formula>$E5=""</formula>
    </cfRule>
  </conditionalFormatting>
  <conditionalFormatting sqref="M5:M11 M14:M20 M23:M29 M32:M38 M41:M47 M50:M51">
    <cfRule type="expression" dxfId="7781" priority="1159">
      <formula>$C5&lt;$E$3</formula>
    </cfRule>
  </conditionalFormatting>
  <conditionalFormatting sqref="M5:M11 M14:M20 M23:M29 M32:M38 M41:M47 M50:M51">
    <cfRule type="expression" dxfId="7780" priority="1158">
      <formula>$E5=""</formula>
    </cfRule>
  </conditionalFormatting>
  <conditionalFormatting sqref="M5:M11 M14:M20 M23:M29 M32:M38 M41:M47 M50:M51">
    <cfRule type="expression" dxfId="7779" priority="1157">
      <formula>$C5&lt;$E$3</formula>
    </cfRule>
  </conditionalFormatting>
  <conditionalFormatting sqref="M5:M11 M14:M20 M23:M29 M32:M38 M41:M47 M50:M51">
    <cfRule type="expression" dxfId="7778" priority="1153">
      <formula>$C5=$E$3</formula>
    </cfRule>
    <cfRule type="expression" dxfId="7777" priority="1154">
      <formula>$C5&lt;$E$3</formula>
    </cfRule>
    <cfRule type="cellIs" dxfId="7776" priority="1155" operator="equal">
      <formula>0</formula>
    </cfRule>
    <cfRule type="expression" dxfId="7775" priority="1156">
      <formula>$C5&gt;$E$3</formula>
    </cfRule>
  </conditionalFormatting>
  <conditionalFormatting sqref="M5:M11 M14:M20 M23:M29 M32:M38 M41:M47 M50:M51">
    <cfRule type="expression" dxfId="7774" priority="1152">
      <formula>$C5&lt;$E$3</formula>
    </cfRule>
  </conditionalFormatting>
  <conditionalFormatting sqref="M5:M11 M14:M20 M23:M29 M32:M38 M41:M47 M50:M51">
    <cfRule type="expression" dxfId="7773" priority="1148">
      <formula>$C5=$E$3</formula>
    </cfRule>
    <cfRule type="expression" dxfId="7772" priority="1149">
      <formula>$C5&lt;$E$3</formula>
    </cfRule>
    <cfRule type="cellIs" dxfId="7771" priority="1150" operator="equal">
      <formula>0</formula>
    </cfRule>
    <cfRule type="expression" dxfId="7770" priority="1151">
      <formula>$C5&gt;$E$3</formula>
    </cfRule>
  </conditionalFormatting>
  <conditionalFormatting sqref="M5:M11 M14:M20 M23:M29 M32:M38 M41:M47 M50:M51">
    <cfRule type="expression" dxfId="7769" priority="1147">
      <formula>$C5&lt;$E$3</formula>
    </cfRule>
  </conditionalFormatting>
  <conditionalFormatting sqref="M5:M11 M14:M20 M23:M29 M32:M38 M41:M47 M50:M51">
    <cfRule type="expression" dxfId="7768" priority="1143">
      <formula>$C5=$E$3</formula>
    </cfRule>
    <cfRule type="expression" dxfId="7767" priority="1144">
      <formula>$C5&lt;$E$3</formula>
    </cfRule>
    <cfRule type="cellIs" dxfId="7766" priority="1145" operator="equal">
      <formula>0</formula>
    </cfRule>
    <cfRule type="expression" dxfId="7765" priority="1146">
      <formula>$C5&gt;$E$3</formula>
    </cfRule>
  </conditionalFormatting>
  <conditionalFormatting sqref="M5:M11 M14:M20 M23:M29 M32:M38 M41:M47 M50:M51">
    <cfRule type="expression" dxfId="7764" priority="1142">
      <formula>$C5&lt;$E$3</formula>
    </cfRule>
  </conditionalFormatting>
  <conditionalFormatting sqref="M5:M11 M14:M20 M23:M29 M32:M38 M41:M47 M50:M51">
    <cfRule type="expression" dxfId="7763" priority="1138">
      <formula>$C5=$E$3</formula>
    </cfRule>
    <cfRule type="expression" dxfId="7762" priority="1139">
      <formula>$C5&lt;$E$3</formula>
    </cfRule>
    <cfRule type="cellIs" dxfId="7761" priority="1140" operator="equal">
      <formula>0</formula>
    </cfRule>
    <cfRule type="expression" dxfId="7760" priority="1141">
      <formula>$C5&gt;$E$3</formula>
    </cfRule>
  </conditionalFormatting>
  <conditionalFormatting sqref="M5:M11 M14:M20 M23:M29 M32:M38 M41:M47 M50:M51">
    <cfRule type="expression" dxfId="7759" priority="1137">
      <formula>$E5=""</formula>
    </cfRule>
  </conditionalFormatting>
  <conditionalFormatting sqref="M5:M11 M14:M20 M23:M29 M32:M38 M41:M47 M50:M51">
    <cfRule type="expression" dxfId="7758" priority="1136">
      <formula>$C5&lt;$E$3</formula>
    </cfRule>
  </conditionalFormatting>
  <conditionalFormatting sqref="M5:M11 M14:M20 M23:M29 M32:M38 M41:M47 M50:M51">
    <cfRule type="expression" dxfId="7757" priority="1135">
      <formula>$E5=""</formula>
    </cfRule>
  </conditionalFormatting>
  <conditionalFormatting sqref="M5:M11 M14:M20 M23:M29 M32:M38 M41:M47 M50:M51">
    <cfRule type="expression" dxfId="7756" priority="1134">
      <formula>$E5=""</formula>
    </cfRule>
  </conditionalFormatting>
  <conditionalFormatting sqref="M5:M11 M14:M20 M23:M29 M32:M38 M41:M47 M50:M51">
    <cfRule type="expression" dxfId="7755" priority="1133">
      <formula>$C5&lt;$E$3</formula>
    </cfRule>
  </conditionalFormatting>
  <conditionalFormatting sqref="M5:M11 M14:M20 M23:M29 M32:M38 M41:M47 M50:M51">
    <cfRule type="expression" dxfId="7754" priority="1132">
      <formula>$E5=""</formula>
    </cfRule>
  </conditionalFormatting>
  <conditionalFormatting sqref="M5:M11 M14:M20 M23:M29 M32:M38 M41:M47 M50:M51">
    <cfRule type="expression" dxfId="7753" priority="1131">
      <formula>$C5&lt;$E$3</formula>
    </cfRule>
  </conditionalFormatting>
  <conditionalFormatting sqref="M5:M11 M14:M20 M23:M29 M32:M38 M41:M47 M50:M51">
    <cfRule type="expression" dxfId="7752" priority="1130">
      <formula>$E5=""</formula>
    </cfRule>
  </conditionalFormatting>
  <conditionalFormatting sqref="M5:M11 M14:M20 M23:M29 M32:M38 M41:M47 M50:M51">
    <cfRule type="expression" dxfId="7751" priority="1129">
      <formula>$C5&lt;$E$3</formula>
    </cfRule>
  </conditionalFormatting>
  <conditionalFormatting sqref="M5:M11 M14:M20 M23:M29 M32:M38 M41:M47 M50:M51">
    <cfRule type="expression" dxfId="7750" priority="1128">
      <formula>$E5=""</formula>
    </cfRule>
  </conditionalFormatting>
  <conditionalFormatting sqref="K37">
    <cfRule type="expression" dxfId="7749" priority="335">
      <formula>$C37&lt;$E$3</formula>
    </cfRule>
  </conditionalFormatting>
  <conditionalFormatting sqref="K37">
    <cfRule type="expression" dxfId="7748" priority="331">
      <formula>$C37=$E$3</formula>
    </cfRule>
    <cfRule type="expression" dxfId="7747" priority="332">
      <formula>$C37&lt;$E$3</formula>
    </cfRule>
    <cfRule type="cellIs" dxfId="7746" priority="333" operator="equal">
      <formula>0</formula>
    </cfRule>
    <cfRule type="expression" dxfId="7745" priority="334">
      <formula>$C37&gt;$E$3</formula>
    </cfRule>
  </conditionalFormatting>
  <conditionalFormatting sqref="K37">
    <cfRule type="expression" dxfId="7744" priority="330">
      <formula>$C37&lt;$E$3</formula>
    </cfRule>
  </conditionalFormatting>
  <conditionalFormatting sqref="K37">
    <cfRule type="expression" dxfId="7743" priority="326">
      <formula>$C37=$E$3</formula>
    </cfRule>
    <cfRule type="expression" dxfId="7742" priority="327">
      <formula>$C37&lt;$E$3</formula>
    </cfRule>
    <cfRule type="cellIs" dxfId="7741" priority="328" operator="equal">
      <formula>0</formula>
    </cfRule>
    <cfRule type="expression" dxfId="7740" priority="329">
      <formula>$C37&gt;$E$3</formula>
    </cfRule>
  </conditionalFormatting>
  <conditionalFormatting sqref="K37">
    <cfRule type="expression" dxfId="7739" priority="305">
      <formula>$C37&lt;$E$3</formula>
    </cfRule>
  </conditionalFormatting>
  <conditionalFormatting sqref="K37">
    <cfRule type="expression" dxfId="7738" priority="301">
      <formula>$C37=$E$3</formula>
    </cfRule>
    <cfRule type="expression" dxfId="7737" priority="302">
      <formula>$C37&lt;$E$3</formula>
    </cfRule>
    <cfRule type="cellIs" dxfId="7736" priority="303" operator="equal">
      <formula>0</formula>
    </cfRule>
    <cfRule type="expression" dxfId="7735" priority="304">
      <formula>$C37&gt;$E$3</formula>
    </cfRule>
  </conditionalFormatting>
  <conditionalFormatting sqref="K37">
    <cfRule type="expression" dxfId="7734" priority="300">
      <formula>$C37&lt;$E$3</formula>
    </cfRule>
  </conditionalFormatting>
  <conditionalFormatting sqref="K37">
    <cfRule type="expression" dxfId="7733" priority="296">
      <formula>$C37=$E$3</formula>
    </cfRule>
    <cfRule type="expression" dxfId="7732" priority="297">
      <formula>$C37&lt;$E$3</formula>
    </cfRule>
    <cfRule type="cellIs" dxfId="7731" priority="298" operator="equal">
      <formula>0</formula>
    </cfRule>
    <cfRule type="expression" dxfId="7730" priority="299">
      <formula>$C37&gt;$E$3</formula>
    </cfRule>
  </conditionalFormatting>
  <conditionalFormatting sqref="K32:K36">
    <cfRule type="expression" dxfId="7729" priority="275">
      <formula>$C32&lt;$E$3</formula>
    </cfRule>
  </conditionalFormatting>
  <conditionalFormatting sqref="K32:K36">
    <cfRule type="expression" dxfId="7728" priority="271">
      <formula>$C32=$E$3</formula>
    </cfRule>
    <cfRule type="expression" dxfId="7727" priority="272">
      <formula>$C32&lt;$E$3</formula>
    </cfRule>
    <cfRule type="cellIs" dxfId="7726" priority="273" operator="equal">
      <formula>0</formula>
    </cfRule>
    <cfRule type="expression" dxfId="7725" priority="274">
      <formula>$C32&gt;$E$3</formula>
    </cfRule>
  </conditionalFormatting>
  <conditionalFormatting sqref="K32:K36">
    <cfRule type="expression" dxfId="7724" priority="270">
      <formula>$C32&lt;$E$3</formula>
    </cfRule>
  </conditionalFormatting>
  <conditionalFormatting sqref="K32:K36">
    <cfRule type="expression" dxfId="7723" priority="266">
      <formula>$C32=$E$3</formula>
    </cfRule>
    <cfRule type="expression" dxfId="7722" priority="267">
      <formula>$C32&lt;$E$3</formula>
    </cfRule>
    <cfRule type="cellIs" dxfId="7721" priority="268" operator="equal">
      <formula>0</formula>
    </cfRule>
    <cfRule type="expression" dxfId="7720" priority="269">
      <formula>$C32&gt;$E$3</formula>
    </cfRule>
  </conditionalFormatting>
  <conditionalFormatting sqref="H23:H29 H32 H14:H20 H11">
    <cfRule type="cellIs" dxfId="7719" priority="1007" stopIfTrue="1" operator="lessThan">
      <formula>0</formula>
    </cfRule>
  </conditionalFormatting>
  <conditionalFormatting sqref="H12">
    <cfRule type="expression" dxfId="7718" priority="1006">
      <formula>$F12&gt;=$F13</formula>
    </cfRule>
  </conditionalFormatting>
  <conditionalFormatting sqref="H21">
    <cfRule type="expression" dxfId="7717" priority="1005">
      <formula>$F21&gt;=$F22</formula>
    </cfRule>
  </conditionalFormatting>
  <conditionalFormatting sqref="H30">
    <cfRule type="expression" dxfId="7716" priority="1004">
      <formula>$F30&gt;=$F31</formula>
    </cfRule>
  </conditionalFormatting>
  <conditionalFormatting sqref="H12">
    <cfRule type="expression" dxfId="7715" priority="1003">
      <formula>$F12&gt;=$F13</formula>
    </cfRule>
  </conditionalFormatting>
  <conditionalFormatting sqref="H21">
    <cfRule type="expression" dxfId="7714" priority="1002">
      <formula>$F21&gt;=$F22</formula>
    </cfRule>
  </conditionalFormatting>
  <conditionalFormatting sqref="H30">
    <cfRule type="expression" dxfId="7713" priority="1001">
      <formula>$F30&gt;=$F31</formula>
    </cfRule>
  </conditionalFormatting>
  <conditionalFormatting sqref="H11">
    <cfRule type="expression" dxfId="7712" priority="999">
      <formula>$C11&lt;$E$3</formula>
    </cfRule>
  </conditionalFormatting>
  <conditionalFormatting sqref="H11">
    <cfRule type="expression" dxfId="7711" priority="996">
      <formula>$C11=$E$3</formula>
    </cfRule>
    <cfRule type="expression" dxfId="7710" priority="997">
      <formula>$C11&lt;$E$3</formula>
    </cfRule>
    <cfRule type="cellIs" dxfId="7709" priority="998" operator="equal">
      <formula>0</formula>
    </cfRule>
    <cfRule type="expression" dxfId="7708" priority="1000">
      <formula>$C11&gt;$E$3</formula>
    </cfRule>
  </conditionalFormatting>
  <conditionalFormatting sqref="H11">
    <cfRule type="expression" dxfId="7707" priority="995">
      <formula>$C11&lt;$E$3</formula>
    </cfRule>
  </conditionalFormatting>
  <conditionalFormatting sqref="H11">
    <cfRule type="expression" dxfId="7706" priority="991">
      <formula>$C11=$E$3</formula>
    </cfRule>
    <cfRule type="expression" dxfId="7705" priority="992">
      <formula>$C11&lt;$E$3</formula>
    </cfRule>
    <cfRule type="cellIs" dxfId="7704" priority="993" operator="equal">
      <formula>0</formula>
    </cfRule>
    <cfRule type="expression" dxfId="7703" priority="994">
      <formula>$C11&gt;$E$3</formula>
    </cfRule>
  </conditionalFormatting>
  <conditionalFormatting sqref="H11">
    <cfRule type="expression" dxfId="7702" priority="990">
      <formula>$C11&lt;$E$3</formula>
    </cfRule>
  </conditionalFormatting>
  <conditionalFormatting sqref="H11">
    <cfRule type="expression" dxfId="7701" priority="986">
      <formula>$C11=$E$3</formula>
    </cfRule>
    <cfRule type="expression" dxfId="7700" priority="987">
      <formula>$C11&lt;$E$3</formula>
    </cfRule>
    <cfRule type="cellIs" dxfId="7699" priority="988" operator="equal">
      <formula>0</formula>
    </cfRule>
    <cfRule type="expression" dxfId="7698" priority="989">
      <formula>$C11&gt;$E$3</formula>
    </cfRule>
  </conditionalFormatting>
  <conditionalFormatting sqref="H11">
    <cfRule type="expression" dxfId="7697" priority="985">
      <formula>$C11&lt;$E$3</formula>
    </cfRule>
  </conditionalFormatting>
  <conditionalFormatting sqref="H11">
    <cfRule type="expression" dxfId="7696" priority="981">
      <formula>$C11=$E$3</formula>
    </cfRule>
    <cfRule type="expression" dxfId="7695" priority="982">
      <formula>$C11&lt;$E$3</formula>
    </cfRule>
    <cfRule type="cellIs" dxfId="7694" priority="983" operator="equal">
      <formula>0</formula>
    </cfRule>
    <cfRule type="expression" dxfId="7693" priority="984">
      <formula>$C11&gt;$E$3</formula>
    </cfRule>
  </conditionalFormatting>
  <conditionalFormatting sqref="H11">
    <cfRule type="expression" dxfId="7692" priority="980">
      <formula>$E11=""</formula>
    </cfRule>
  </conditionalFormatting>
  <conditionalFormatting sqref="H11">
    <cfRule type="expression" dxfId="7691" priority="979">
      <formula>$C11&lt;$E$3</formula>
    </cfRule>
  </conditionalFormatting>
  <conditionalFormatting sqref="H11">
    <cfRule type="expression" dxfId="7690" priority="978">
      <formula>$E11=""</formula>
    </cfRule>
  </conditionalFormatting>
  <conditionalFormatting sqref="H11">
    <cfRule type="expression" dxfId="7689" priority="977">
      <formula>$E11=""</formula>
    </cfRule>
  </conditionalFormatting>
  <conditionalFormatting sqref="H11">
    <cfRule type="expression" dxfId="7688" priority="976">
      <formula>$C11&lt;$E$3</formula>
    </cfRule>
  </conditionalFormatting>
  <conditionalFormatting sqref="H11">
    <cfRule type="expression" dxfId="7687" priority="975">
      <formula>$E11=""</formula>
    </cfRule>
  </conditionalFormatting>
  <conditionalFormatting sqref="H11">
    <cfRule type="expression" dxfId="7686" priority="974">
      <formula>$C11&lt;$E$3</formula>
    </cfRule>
  </conditionalFormatting>
  <conditionalFormatting sqref="H11">
    <cfRule type="expression" dxfId="7685" priority="973">
      <formula>$E11=""</formula>
    </cfRule>
  </conditionalFormatting>
  <conditionalFormatting sqref="H11">
    <cfRule type="expression" dxfId="7684" priority="972">
      <formula>$C11&lt;$E$3</formula>
    </cfRule>
  </conditionalFormatting>
  <conditionalFormatting sqref="H11">
    <cfRule type="expression" dxfId="7683" priority="971">
      <formula>$E11=""</formula>
    </cfRule>
  </conditionalFormatting>
  <conditionalFormatting sqref="H14:H20">
    <cfRule type="expression" dxfId="7682" priority="969">
      <formula>$C14&lt;$E$3</formula>
    </cfRule>
  </conditionalFormatting>
  <conditionalFormatting sqref="H14:H20">
    <cfRule type="expression" dxfId="7681" priority="966">
      <formula>$C14=$E$3</formula>
    </cfRule>
    <cfRule type="expression" dxfId="7680" priority="967">
      <formula>$C14&lt;$E$3</formula>
    </cfRule>
    <cfRule type="cellIs" dxfId="7679" priority="968" operator="equal">
      <formula>0</formula>
    </cfRule>
    <cfRule type="expression" dxfId="7678" priority="970">
      <formula>$C14&gt;$E$3</formula>
    </cfRule>
  </conditionalFormatting>
  <conditionalFormatting sqref="H14:H20">
    <cfRule type="expression" dxfId="7677" priority="965">
      <formula>$C14&lt;$E$3</formula>
    </cfRule>
  </conditionalFormatting>
  <conditionalFormatting sqref="H14:H20">
    <cfRule type="expression" dxfId="7676" priority="961">
      <formula>$C14=$E$3</formula>
    </cfRule>
    <cfRule type="expression" dxfId="7675" priority="962">
      <formula>$C14&lt;$E$3</formula>
    </cfRule>
    <cfRule type="cellIs" dxfId="7674" priority="963" operator="equal">
      <formula>0</formula>
    </cfRule>
    <cfRule type="expression" dxfId="7673" priority="964">
      <formula>$C14&gt;$E$3</formula>
    </cfRule>
  </conditionalFormatting>
  <conditionalFormatting sqref="H14:H20">
    <cfRule type="expression" dxfId="7672" priority="960">
      <formula>$C14&lt;$E$3</formula>
    </cfRule>
  </conditionalFormatting>
  <conditionalFormatting sqref="H14:H20">
    <cfRule type="expression" dxfId="7671" priority="956">
      <formula>$C14=$E$3</formula>
    </cfRule>
    <cfRule type="expression" dxfId="7670" priority="957">
      <formula>$C14&lt;$E$3</formula>
    </cfRule>
    <cfRule type="cellIs" dxfId="7669" priority="958" operator="equal">
      <formula>0</formula>
    </cfRule>
    <cfRule type="expression" dxfId="7668" priority="959">
      <formula>$C14&gt;$E$3</formula>
    </cfRule>
  </conditionalFormatting>
  <conditionalFormatting sqref="H14:H20">
    <cfRule type="expression" dxfId="7667" priority="955">
      <formula>$C14&lt;$E$3</formula>
    </cfRule>
  </conditionalFormatting>
  <conditionalFormatting sqref="H14:H20">
    <cfRule type="expression" dxfId="7666" priority="951">
      <formula>$C14=$E$3</formula>
    </cfRule>
    <cfRule type="expression" dxfId="7665" priority="952">
      <formula>$C14&lt;$E$3</formula>
    </cfRule>
    <cfRule type="cellIs" dxfId="7664" priority="953" operator="equal">
      <formula>0</formula>
    </cfRule>
    <cfRule type="expression" dxfId="7663" priority="954">
      <formula>$C14&gt;$E$3</formula>
    </cfRule>
  </conditionalFormatting>
  <conditionalFormatting sqref="H14:H20">
    <cfRule type="expression" dxfId="7662" priority="950">
      <formula>$E14=""</formula>
    </cfRule>
  </conditionalFormatting>
  <conditionalFormatting sqref="H14:H20">
    <cfRule type="expression" dxfId="7661" priority="949">
      <formula>$C14&lt;$E$3</formula>
    </cfRule>
  </conditionalFormatting>
  <conditionalFormatting sqref="H14:H20">
    <cfRule type="expression" dxfId="7660" priority="948">
      <formula>$E14=""</formula>
    </cfRule>
  </conditionalFormatting>
  <conditionalFormatting sqref="H14:H20">
    <cfRule type="expression" dxfId="7659" priority="947">
      <formula>$E14=""</formula>
    </cfRule>
  </conditionalFormatting>
  <conditionalFormatting sqref="H14:H20">
    <cfRule type="expression" dxfId="7658" priority="946">
      <formula>$C14&lt;$E$3</formula>
    </cfRule>
  </conditionalFormatting>
  <conditionalFormatting sqref="H14:H20">
    <cfRule type="expression" dxfId="7657" priority="945">
      <formula>$E14=""</formula>
    </cfRule>
  </conditionalFormatting>
  <conditionalFormatting sqref="H14:H20">
    <cfRule type="expression" dxfId="7656" priority="944">
      <formula>$C14&lt;$E$3</formula>
    </cfRule>
  </conditionalFormatting>
  <conditionalFormatting sqref="H14:H20">
    <cfRule type="expression" dxfId="7655" priority="943">
      <formula>$E14=""</formula>
    </cfRule>
  </conditionalFormatting>
  <conditionalFormatting sqref="H14:H20">
    <cfRule type="expression" dxfId="7654" priority="942">
      <formula>$C14&lt;$E$3</formula>
    </cfRule>
  </conditionalFormatting>
  <conditionalFormatting sqref="H14:H20">
    <cfRule type="expression" dxfId="7653" priority="941">
      <formula>$E14=""</formula>
    </cfRule>
  </conditionalFormatting>
  <conditionalFormatting sqref="H23:H29">
    <cfRule type="expression" dxfId="7652" priority="939">
      <formula>$C23&lt;$E$3</formula>
    </cfRule>
  </conditionalFormatting>
  <conditionalFormatting sqref="H23:H29">
    <cfRule type="expression" dxfId="7651" priority="936">
      <formula>$C23=$E$3</formula>
    </cfRule>
    <cfRule type="expression" dxfId="7650" priority="937">
      <formula>$C23&lt;$E$3</formula>
    </cfRule>
    <cfRule type="cellIs" dxfId="7649" priority="938" operator="equal">
      <formula>0</formula>
    </cfRule>
    <cfRule type="expression" dxfId="7648" priority="940">
      <formula>$C23&gt;$E$3</formula>
    </cfRule>
  </conditionalFormatting>
  <conditionalFormatting sqref="H23:H29">
    <cfRule type="expression" dxfId="7647" priority="935">
      <formula>$C23&lt;$E$3</formula>
    </cfRule>
  </conditionalFormatting>
  <conditionalFormatting sqref="H23:H29">
    <cfRule type="expression" dxfId="7646" priority="931">
      <formula>$C23=$E$3</formula>
    </cfRule>
    <cfRule type="expression" dxfId="7645" priority="932">
      <formula>$C23&lt;$E$3</formula>
    </cfRule>
    <cfRule type="cellIs" dxfId="7644" priority="933" operator="equal">
      <formula>0</formula>
    </cfRule>
    <cfRule type="expression" dxfId="7643" priority="934">
      <formula>$C23&gt;$E$3</formula>
    </cfRule>
  </conditionalFormatting>
  <conditionalFormatting sqref="H23:H29">
    <cfRule type="expression" dxfId="7642" priority="930">
      <formula>$C23&lt;$E$3</formula>
    </cfRule>
  </conditionalFormatting>
  <conditionalFormatting sqref="H23:H29">
    <cfRule type="expression" dxfId="7641" priority="926">
      <formula>$C23=$E$3</formula>
    </cfRule>
    <cfRule type="expression" dxfId="7640" priority="927">
      <formula>$C23&lt;$E$3</formula>
    </cfRule>
    <cfRule type="cellIs" dxfId="7639" priority="928" operator="equal">
      <formula>0</formula>
    </cfRule>
    <cfRule type="expression" dxfId="7638" priority="929">
      <formula>$C23&gt;$E$3</formula>
    </cfRule>
  </conditionalFormatting>
  <conditionalFormatting sqref="H23:H29">
    <cfRule type="expression" dxfId="7637" priority="925">
      <formula>$C23&lt;$E$3</formula>
    </cfRule>
  </conditionalFormatting>
  <conditionalFormatting sqref="H23:H29">
    <cfRule type="expression" dxfId="7636" priority="921">
      <formula>$C23=$E$3</formula>
    </cfRule>
    <cfRule type="expression" dxfId="7635" priority="922">
      <formula>$C23&lt;$E$3</formula>
    </cfRule>
    <cfRule type="cellIs" dxfId="7634" priority="923" operator="equal">
      <formula>0</formula>
    </cfRule>
    <cfRule type="expression" dxfId="7633" priority="924">
      <formula>$C23&gt;$E$3</formula>
    </cfRule>
  </conditionalFormatting>
  <conditionalFormatting sqref="H23:H29">
    <cfRule type="expression" dxfId="7632" priority="920">
      <formula>$E23=""</formula>
    </cfRule>
  </conditionalFormatting>
  <conditionalFormatting sqref="H23:H29">
    <cfRule type="expression" dxfId="7631" priority="919">
      <formula>$C23&lt;$E$3</formula>
    </cfRule>
  </conditionalFormatting>
  <conditionalFormatting sqref="H23:H29">
    <cfRule type="expression" dxfId="7630" priority="918">
      <formula>$E23=""</formula>
    </cfRule>
  </conditionalFormatting>
  <conditionalFormatting sqref="H23:H29">
    <cfRule type="expression" dxfId="7629" priority="917">
      <formula>$E23=""</formula>
    </cfRule>
  </conditionalFormatting>
  <conditionalFormatting sqref="H23:H29">
    <cfRule type="expression" dxfId="7628" priority="916">
      <formula>$C23&lt;$E$3</formula>
    </cfRule>
  </conditionalFormatting>
  <conditionalFormatting sqref="H23:H29">
    <cfRule type="expression" dxfId="7627" priority="915">
      <formula>$E23=""</formula>
    </cfRule>
  </conditionalFormatting>
  <conditionalFormatting sqref="H23:H29">
    <cfRule type="expression" dxfId="7626" priority="914">
      <formula>$C23&lt;$E$3</formula>
    </cfRule>
  </conditionalFormatting>
  <conditionalFormatting sqref="H23:H29">
    <cfRule type="expression" dxfId="7625" priority="913">
      <formula>$E23=""</formula>
    </cfRule>
  </conditionalFormatting>
  <conditionalFormatting sqref="H23:H29">
    <cfRule type="expression" dxfId="7624" priority="912">
      <formula>$C23&lt;$E$3</formula>
    </cfRule>
  </conditionalFormatting>
  <conditionalFormatting sqref="H23:H29">
    <cfRule type="expression" dxfId="7623" priority="911">
      <formula>$E23=""</formula>
    </cfRule>
  </conditionalFormatting>
  <conditionalFormatting sqref="H32">
    <cfRule type="expression" dxfId="7622" priority="909">
      <formula>$C32&lt;$E$3</formula>
    </cfRule>
  </conditionalFormatting>
  <conditionalFormatting sqref="H32">
    <cfRule type="expression" dxfId="7621" priority="906">
      <formula>$C32=$E$3</formula>
    </cfRule>
    <cfRule type="expression" dxfId="7620" priority="907">
      <formula>$C32&lt;$E$3</formula>
    </cfRule>
    <cfRule type="cellIs" dxfId="7619" priority="908" operator="equal">
      <formula>0</formula>
    </cfRule>
    <cfRule type="expression" dxfId="7618" priority="910">
      <formula>$C32&gt;$E$3</formula>
    </cfRule>
  </conditionalFormatting>
  <conditionalFormatting sqref="H32">
    <cfRule type="expression" dxfId="7617" priority="905">
      <formula>$C32&lt;$E$3</formula>
    </cfRule>
  </conditionalFormatting>
  <conditionalFormatting sqref="H32">
    <cfRule type="expression" dxfId="7616" priority="901">
      <formula>$C32=$E$3</formula>
    </cfRule>
    <cfRule type="expression" dxfId="7615" priority="902">
      <formula>$C32&lt;$E$3</formula>
    </cfRule>
    <cfRule type="cellIs" dxfId="7614" priority="903" operator="equal">
      <formula>0</formula>
    </cfRule>
    <cfRule type="expression" dxfId="7613" priority="904">
      <formula>$C32&gt;$E$3</formula>
    </cfRule>
  </conditionalFormatting>
  <conditionalFormatting sqref="H32">
    <cfRule type="expression" dxfId="7612" priority="900">
      <formula>$C32&lt;$E$3</formula>
    </cfRule>
  </conditionalFormatting>
  <conditionalFormatting sqref="H32">
    <cfRule type="expression" dxfId="7611" priority="896">
      <formula>$C32=$E$3</formula>
    </cfRule>
    <cfRule type="expression" dxfId="7610" priority="897">
      <formula>$C32&lt;$E$3</formula>
    </cfRule>
    <cfRule type="cellIs" dxfId="7609" priority="898" operator="equal">
      <formula>0</formula>
    </cfRule>
    <cfRule type="expression" dxfId="7608" priority="899">
      <formula>$C32&gt;$E$3</formula>
    </cfRule>
  </conditionalFormatting>
  <conditionalFormatting sqref="H32">
    <cfRule type="expression" dxfId="7607" priority="895">
      <formula>$C32&lt;$E$3</formula>
    </cfRule>
  </conditionalFormatting>
  <conditionalFormatting sqref="H32">
    <cfRule type="expression" dxfId="7606" priority="891">
      <formula>$C32=$E$3</formula>
    </cfRule>
    <cfRule type="expression" dxfId="7605" priority="892">
      <formula>$C32&lt;$E$3</formula>
    </cfRule>
    <cfRule type="cellIs" dxfId="7604" priority="893" operator="equal">
      <formula>0</formula>
    </cfRule>
    <cfRule type="expression" dxfId="7603" priority="894">
      <formula>$C32&gt;$E$3</formula>
    </cfRule>
  </conditionalFormatting>
  <conditionalFormatting sqref="H32">
    <cfRule type="expression" dxfId="7602" priority="890">
      <formula>$E32=""</formula>
    </cfRule>
  </conditionalFormatting>
  <conditionalFormatting sqref="H32">
    <cfRule type="expression" dxfId="7601" priority="889">
      <formula>$C32&lt;$E$3</formula>
    </cfRule>
  </conditionalFormatting>
  <conditionalFormatting sqref="H32">
    <cfRule type="expression" dxfId="7600" priority="888">
      <formula>$E32=""</formula>
    </cfRule>
  </conditionalFormatting>
  <conditionalFormatting sqref="H32">
    <cfRule type="expression" dxfId="7599" priority="887">
      <formula>$E32=""</formula>
    </cfRule>
  </conditionalFormatting>
  <conditionalFormatting sqref="H32">
    <cfRule type="expression" dxfId="7598" priority="886">
      <formula>$C32&lt;$E$3</formula>
    </cfRule>
  </conditionalFormatting>
  <conditionalFormatting sqref="H32">
    <cfRule type="expression" dxfId="7597" priority="885">
      <formula>$E32=""</formula>
    </cfRule>
  </conditionalFormatting>
  <conditionalFormatting sqref="H32">
    <cfRule type="expression" dxfId="7596" priority="884">
      <formula>$C32&lt;$E$3</formula>
    </cfRule>
  </conditionalFormatting>
  <conditionalFormatting sqref="H32">
    <cfRule type="expression" dxfId="7595" priority="883">
      <formula>$E32=""</formula>
    </cfRule>
  </conditionalFormatting>
  <conditionalFormatting sqref="H32">
    <cfRule type="expression" dxfId="7594" priority="882">
      <formula>$C32&lt;$E$3</formula>
    </cfRule>
  </conditionalFormatting>
  <conditionalFormatting sqref="H32">
    <cfRule type="expression" dxfId="7593" priority="881">
      <formula>$E32=""</formula>
    </cfRule>
  </conditionalFormatting>
  <conditionalFormatting sqref="F52:H52">
    <cfRule type="expression" dxfId="7592" priority="1378" stopIfTrue="1">
      <formula>$H$52=-1E-55</formula>
    </cfRule>
    <cfRule type="expression" dxfId="7591" priority="1379">
      <formula>$F52&gt;=$F53</formula>
    </cfRule>
  </conditionalFormatting>
  <conditionalFormatting sqref="K48:K49">
    <cfRule type="cellIs" dxfId="7590" priority="879" stopIfTrue="1" operator="lessThan">
      <formula>0</formula>
    </cfRule>
  </conditionalFormatting>
  <conditionalFormatting sqref="K48:K49">
    <cfRule type="expression" dxfId="7589" priority="878">
      <formula>$C68&lt;$E$3</formula>
    </cfRule>
  </conditionalFormatting>
  <conditionalFormatting sqref="K48:K49">
    <cfRule type="expression" dxfId="7588" priority="874">
      <formula>$C68=$E$3</formula>
    </cfRule>
    <cfRule type="expression" dxfId="7587" priority="875">
      <formula>$C68&lt;$E$3</formula>
    </cfRule>
    <cfRule type="cellIs" dxfId="7586" priority="876" operator="equal">
      <formula>0</formula>
    </cfRule>
    <cfRule type="expression" dxfId="7585" priority="877">
      <formula>$C68&gt;$E$3</formula>
    </cfRule>
  </conditionalFormatting>
  <conditionalFormatting sqref="K48:K49">
    <cfRule type="expression" dxfId="7584" priority="873">
      <formula>$C68&lt;$E$3</formula>
    </cfRule>
  </conditionalFormatting>
  <conditionalFormatting sqref="K48:K49">
    <cfRule type="expression" dxfId="7583" priority="869">
      <formula>$C68=$E$3</formula>
    </cfRule>
    <cfRule type="expression" dxfId="7582" priority="870">
      <formula>$C68&lt;$E$3</formula>
    </cfRule>
    <cfRule type="cellIs" dxfId="7581" priority="871" operator="equal">
      <formula>0</formula>
    </cfRule>
    <cfRule type="expression" dxfId="7580" priority="872">
      <formula>$C68&gt;$E$3</formula>
    </cfRule>
  </conditionalFormatting>
  <conditionalFormatting sqref="K48:K49">
    <cfRule type="expression" dxfId="7579" priority="868">
      <formula>$C68&lt;$E$3</formula>
    </cfRule>
  </conditionalFormatting>
  <conditionalFormatting sqref="K48:K49">
    <cfRule type="expression" dxfId="7578" priority="864">
      <formula>$C68=$E$3</formula>
    </cfRule>
    <cfRule type="expression" dxfId="7577" priority="865">
      <formula>$C68&lt;$E$3</formula>
    </cfRule>
    <cfRule type="cellIs" dxfId="7576" priority="866" operator="equal">
      <formula>0</formula>
    </cfRule>
    <cfRule type="expression" dxfId="7575" priority="867">
      <formula>$C68&gt;$E$3</formula>
    </cfRule>
  </conditionalFormatting>
  <conditionalFormatting sqref="K48:K49">
    <cfRule type="expression" dxfId="7574" priority="863">
      <formula>$C68&lt;$E$3</formula>
    </cfRule>
  </conditionalFormatting>
  <conditionalFormatting sqref="K48:K49">
    <cfRule type="expression" dxfId="7573" priority="859">
      <formula>$C68=$E$3</formula>
    </cfRule>
    <cfRule type="expression" dxfId="7572" priority="860">
      <formula>$C68&lt;$E$3</formula>
    </cfRule>
    <cfRule type="cellIs" dxfId="7571" priority="861" operator="equal">
      <formula>0</formula>
    </cfRule>
    <cfRule type="expression" dxfId="7570" priority="862">
      <formula>$C68&gt;$E$3</formula>
    </cfRule>
  </conditionalFormatting>
  <conditionalFormatting sqref="K48:K49">
    <cfRule type="expression" dxfId="7569" priority="858">
      <formula>$E68=""</formula>
    </cfRule>
  </conditionalFormatting>
  <conditionalFormatting sqref="K48:K49">
    <cfRule type="expression" dxfId="7568" priority="857">
      <formula>$C68&lt;$E$3</formula>
    </cfRule>
  </conditionalFormatting>
  <conditionalFormatting sqref="K48:K49">
    <cfRule type="expression" dxfId="7567" priority="856">
      <formula>$E68=""</formula>
    </cfRule>
  </conditionalFormatting>
  <conditionalFormatting sqref="K48:K49">
    <cfRule type="expression" dxfId="7566" priority="855">
      <formula>$E68=""</formula>
    </cfRule>
  </conditionalFormatting>
  <conditionalFormatting sqref="K48:K49">
    <cfRule type="expression" dxfId="7565" priority="854">
      <formula>$C68&lt;$E$3</formula>
    </cfRule>
  </conditionalFormatting>
  <conditionalFormatting sqref="K48:K49">
    <cfRule type="expression" dxfId="7564" priority="853">
      <formula>$E68=""</formula>
    </cfRule>
  </conditionalFormatting>
  <conditionalFormatting sqref="K48:K49">
    <cfRule type="expression" dxfId="7563" priority="852">
      <formula>$C68&lt;$E$3</formula>
    </cfRule>
  </conditionalFormatting>
  <conditionalFormatting sqref="K48:K49">
    <cfRule type="expression" dxfId="7562" priority="851">
      <formula>$E68=""</formula>
    </cfRule>
  </conditionalFormatting>
  <conditionalFormatting sqref="K48:K49">
    <cfRule type="expression" dxfId="7561" priority="850">
      <formula>$C68&lt;$E$3</formula>
    </cfRule>
  </conditionalFormatting>
  <conditionalFormatting sqref="K48:K49">
    <cfRule type="expression" dxfId="7560" priority="849">
      <formula>$E68=""</formula>
    </cfRule>
  </conditionalFormatting>
  <conditionalFormatting sqref="K48:K49">
    <cfRule type="expression" dxfId="7559" priority="848">
      <formula>$C68&lt;$E$3</formula>
    </cfRule>
  </conditionalFormatting>
  <conditionalFormatting sqref="K48:K49">
    <cfRule type="expression" dxfId="7558" priority="844">
      <formula>$C68=$E$3</formula>
    </cfRule>
    <cfRule type="expression" dxfId="7557" priority="845">
      <formula>$C68&lt;$E$3</formula>
    </cfRule>
    <cfRule type="cellIs" dxfId="7556" priority="846" operator="equal">
      <formula>0</formula>
    </cfRule>
    <cfRule type="expression" dxfId="7555" priority="847">
      <formula>$C68&gt;$E$3</formula>
    </cfRule>
  </conditionalFormatting>
  <conditionalFormatting sqref="K48:K49">
    <cfRule type="expression" dxfId="7554" priority="843">
      <formula>$C68&lt;$E$3</formula>
    </cfRule>
  </conditionalFormatting>
  <conditionalFormatting sqref="K48:K49">
    <cfRule type="expression" dxfId="7553" priority="839">
      <formula>$C68=$E$3</formula>
    </cfRule>
    <cfRule type="expression" dxfId="7552" priority="840">
      <formula>$C68&lt;$E$3</formula>
    </cfRule>
    <cfRule type="cellIs" dxfId="7551" priority="841" operator="equal">
      <formula>0</formula>
    </cfRule>
    <cfRule type="expression" dxfId="7550" priority="842">
      <formula>$C68&gt;$E$3</formula>
    </cfRule>
  </conditionalFormatting>
  <conditionalFormatting sqref="K48:K49">
    <cfRule type="expression" dxfId="7549" priority="838">
      <formula>$C68&lt;$E$3</formula>
    </cfRule>
  </conditionalFormatting>
  <conditionalFormatting sqref="K48:K49">
    <cfRule type="expression" dxfId="7548" priority="834">
      <formula>$C68=$E$3</formula>
    </cfRule>
    <cfRule type="expression" dxfId="7547" priority="835">
      <formula>$C68&lt;$E$3</formula>
    </cfRule>
    <cfRule type="cellIs" dxfId="7546" priority="836" operator="equal">
      <formula>0</formula>
    </cfRule>
    <cfRule type="expression" dxfId="7545" priority="837">
      <formula>$C68&gt;$E$3</formula>
    </cfRule>
  </conditionalFormatting>
  <conditionalFormatting sqref="K48:K49">
    <cfRule type="expression" dxfId="7544" priority="833">
      <formula>$C68&lt;$E$3</formula>
    </cfRule>
  </conditionalFormatting>
  <conditionalFormatting sqref="K48:K49">
    <cfRule type="expression" dxfId="7543" priority="829">
      <formula>$C68=$E$3</formula>
    </cfRule>
    <cfRule type="expression" dxfId="7542" priority="830">
      <formula>$C68&lt;$E$3</formula>
    </cfRule>
    <cfRule type="cellIs" dxfId="7541" priority="831" operator="equal">
      <formula>0</formula>
    </cfRule>
    <cfRule type="expression" dxfId="7540" priority="832">
      <formula>$C68&gt;$E$3</formula>
    </cfRule>
  </conditionalFormatting>
  <conditionalFormatting sqref="K48:K49">
    <cfRule type="expression" dxfId="7539" priority="828">
      <formula>$E68=""</formula>
    </cfRule>
  </conditionalFormatting>
  <conditionalFormatting sqref="K48:K49">
    <cfRule type="expression" dxfId="7538" priority="827">
      <formula>$C68&lt;$E$3</formula>
    </cfRule>
  </conditionalFormatting>
  <conditionalFormatting sqref="K48:K49">
    <cfRule type="expression" dxfId="7537" priority="826">
      <formula>$E68=""</formula>
    </cfRule>
  </conditionalFormatting>
  <conditionalFormatting sqref="K48:K49">
    <cfRule type="expression" dxfId="7536" priority="825">
      <formula>$E68=""</formula>
    </cfRule>
  </conditionalFormatting>
  <conditionalFormatting sqref="K48:K49">
    <cfRule type="expression" dxfId="7535" priority="824">
      <formula>$C68&lt;$E$3</formula>
    </cfRule>
  </conditionalFormatting>
  <conditionalFormatting sqref="K48:K49">
    <cfRule type="expression" dxfId="7534" priority="823">
      <formula>$E68=""</formula>
    </cfRule>
  </conditionalFormatting>
  <conditionalFormatting sqref="K48:K49">
    <cfRule type="expression" dxfId="7533" priority="822">
      <formula>$C68&lt;$E$3</formula>
    </cfRule>
  </conditionalFormatting>
  <conditionalFormatting sqref="K48:K49">
    <cfRule type="expression" dxfId="7532" priority="821">
      <formula>$E68=""</formula>
    </cfRule>
  </conditionalFormatting>
  <conditionalFormatting sqref="K48:K49">
    <cfRule type="expression" dxfId="7531" priority="820">
      <formula>$C68&lt;$E$3</formula>
    </cfRule>
  </conditionalFormatting>
  <conditionalFormatting sqref="K48:K49">
    <cfRule type="expression" dxfId="7530" priority="819">
      <formula>$E68=""</formula>
    </cfRule>
  </conditionalFormatting>
  <conditionalFormatting sqref="K50:K51">
    <cfRule type="expression" dxfId="7529" priority="51">
      <formula>$E50=""</formula>
    </cfRule>
  </conditionalFormatting>
  <conditionalFormatting sqref="H33:H37">
    <cfRule type="cellIs" dxfId="7528" priority="794" stopIfTrue="1" operator="lessThan">
      <formula>0</formula>
    </cfRule>
  </conditionalFormatting>
  <conditionalFormatting sqref="H33:H37">
    <cfRule type="expression" dxfId="7527" priority="798">
      <formula>$C33&lt;$E$3</formula>
    </cfRule>
  </conditionalFormatting>
  <conditionalFormatting sqref="H33:H37">
    <cfRule type="expression" dxfId="7526" priority="795">
      <formula>$C33=$E$3</formula>
    </cfRule>
    <cfRule type="expression" dxfId="7525" priority="796">
      <formula>$C33&lt;$E$3</formula>
    </cfRule>
    <cfRule type="cellIs" dxfId="7524" priority="797" operator="equal">
      <formula>0</formula>
    </cfRule>
    <cfRule type="expression" dxfId="7523" priority="799">
      <formula>$C33&gt;$E$3</formula>
    </cfRule>
  </conditionalFormatting>
  <conditionalFormatting sqref="H33:H37">
    <cfRule type="expression" dxfId="7522" priority="793">
      <formula>$C33&lt;$E$3</formula>
    </cfRule>
  </conditionalFormatting>
  <conditionalFormatting sqref="H33:H37">
    <cfRule type="expression" dxfId="7521" priority="789">
      <formula>$C33=$E$3</formula>
    </cfRule>
    <cfRule type="expression" dxfId="7520" priority="790">
      <formula>$C33&lt;$E$3</formula>
    </cfRule>
    <cfRule type="cellIs" dxfId="7519" priority="791" operator="equal">
      <formula>0</formula>
    </cfRule>
    <cfRule type="expression" dxfId="7518" priority="792">
      <formula>$C33&gt;$E$3</formula>
    </cfRule>
  </conditionalFormatting>
  <conditionalFormatting sqref="H33:H37">
    <cfRule type="expression" dxfId="7517" priority="788">
      <formula>$E33=""</formula>
    </cfRule>
  </conditionalFormatting>
  <conditionalFormatting sqref="H36">
    <cfRule type="expression" dxfId="7516" priority="787">
      <formula>$E36=""</formula>
    </cfRule>
  </conditionalFormatting>
  <conditionalFormatting sqref="H33:H37">
    <cfRule type="expression" dxfId="7515" priority="786">
      <formula>$C33&lt;$E$3</formula>
    </cfRule>
  </conditionalFormatting>
  <conditionalFormatting sqref="H33:H37">
    <cfRule type="expression" dxfId="7514" priority="782">
      <formula>$C33=$E$3</formula>
    </cfRule>
    <cfRule type="expression" dxfId="7513" priority="783">
      <formula>$C33&lt;$E$3</formula>
    </cfRule>
    <cfRule type="cellIs" dxfId="7512" priority="784" operator="equal">
      <formula>0</formula>
    </cfRule>
    <cfRule type="expression" dxfId="7511" priority="785">
      <formula>$C33&gt;$E$3</formula>
    </cfRule>
  </conditionalFormatting>
  <conditionalFormatting sqref="H33:H37">
    <cfRule type="expression" dxfId="7510" priority="781">
      <formula>$C33&lt;$E$3</formula>
    </cfRule>
  </conditionalFormatting>
  <conditionalFormatting sqref="H33:H37">
    <cfRule type="expression" dxfId="7509" priority="777">
      <formula>$C33=$E$3</formula>
    </cfRule>
    <cfRule type="expression" dxfId="7508" priority="778">
      <formula>$C33&lt;$E$3</formula>
    </cfRule>
    <cfRule type="cellIs" dxfId="7507" priority="779" operator="equal">
      <formula>0</formula>
    </cfRule>
    <cfRule type="expression" dxfId="7506" priority="780">
      <formula>$C33&gt;$E$3</formula>
    </cfRule>
  </conditionalFormatting>
  <conditionalFormatting sqref="H33:H37">
    <cfRule type="expression" dxfId="7505" priority="776">
      <formula>$E33=""</formula>
    </cfRule>
  </conditionalFormatting>
  <conditionalFormatting sqref="H33:H37">
    <cfRule type="expression" dxfId="7504" priority="775">
      <formula>$C33&lt;$E$3</formula>
    </cfRule>
  </conditionalFormatting>
  <conditionalFormatting sqref="H33:H37">
    <cfRule type="expression" dxfId="7503" priority="774">
      <formula>$E33=""</formula>
    </cfRule>
  </conditionalFormatting>
  <conditionalFormatting sqref="H33:H37">
    <cfRule type="expression" dxfId="7502" priority="773">
      <formula>$E33=""</formula>
    </cfRule>
  </conditionalFormatting>
  <conditionalFormatting sqref="H33:H37">
    <cfRule type="expression" dxfId="7501" priority="772">
      <formula>$C33&lt;$E$3</formula>
    </cfRule>
  </conditionalFormatting>
  <conditionalFormatting sqref="H33:H37">
    <cfRule type="expression" dxfId="7500" priority="771">
      <formula>$E33=""</formula>
    </cfRule>
  </conditionalFormatting>
  <conditionalFormatting sqref="H33:H37">
    <cfRule type="expression" dxfId="7499" priority="770">
      <formula>$C33&lt;$E$3</formula>
    </cfRule>
  </conditionalFormatting>
  <conditionalFormatting sqref="H33:H37">
    <cfRule type="expression" dxfId="7498" priority="769">
      <formula>$E33=""</formula>
    </cfRule>
  </conditionalFormatting>
  <conditionalFormatting sqref="H33:H37">
    <cfRule type="expression" dxfId="7497" priority="768">
      <formula>$C33&lt;$E$3</formula>
    </cfRule>
  </conditionalFormatting>
  <conditionalFormatting sqref="H33:H37">
    <cfRule type="expression" dxfId="7496" priority="767">
      <formula>$E33=""</formula>
    </cfRule>
  </conditionalFormatting>
  <conditionalFormatting sqref="J39:N40">
    <cfRule type="expression" dxfId="7495" priority="766">
      <formula>$L$40=0</formula>
    </cfRule>
  </conditionalFormatting>
  <conditionalFormatting sqref="K5:K11">
    <cfRule type="cellIs" dxfId="7494" priority="765" stopIfTrue="1" operator="lessThan">
      <formula>0</formula>
    </cfRule>
  </conditionalFormatting>
  <conditionalFormatting sqref="K5:K11">
    <cfRule type="expression" dxfId="7493" priority="763">
      <formula>$C5&lt;$E$3</formula>
    </cfRule>
  </conditionalFormatting>
  <conditionalFormatting sqref="K5:K11">
    <cfRule type="expression" dxfId="7492" priority="760">
      <formula>$C5=$E$3</formula>
    </cfRule>
    <cfRule type="expression" dxfId="7491" priority="761">
      <formula>$C5&lt;$E$3</formula>
    </cfRule>
    <cfRule type="cellIs" dxfId="7490" priority="762" operator="equal">
      <formula>0</formula>
    </cfRule>
    <cfRule type="expression" dxfId="7489" priority="764">
      <formula>$C5&gt;$E$3</formula>
    </cfRule>
  </conditionalFormatting>
  <conditionalFormatting sqref="K5:K11">
    <cfRule type="expression" dxfId="7488" priority="759">
      <formula>$E5=""</formula>
    </cfRule>
  </conditionalFormatting>
  <conditionalFormatting sqref="K5:K11">
    <cfRule type="expression" dxfId="7487" priority="758">
      <formula>$E5=""</formula>
    </cfRule>
  </conditionalFormatting>
  <conditionalFormatting sqref="K5:K11">
    <cfRule type="expression" dxfId="7486" priority="757">
      <formula>$E5=""</formula>
    </cfRule>
  </conditionalFormatting>
  <conditionalFormatting sqref="K10">
    <cfRule type="expression" dxfId="7485" priority="756">
      <formula>$C10&lt;$E$3</formula>
    </cfRule>
  </conditionalFormatting>
  <conditionalFormatting sqref="K10">
    <cfRule type="expression" dxfId="7484" priority="752">
      <formula>$C10=$E$3</formula>
    </cfRule>
    <cfRule type="expression" dxfId="7483" priority="753">
      <formula>$C10&lt;$E$3</formula>
    </cfRule>
    <cfRule type="cellIs" dxfId="7482" priority="754" operator="equal">
      <formula>0</formula>
    </cfRule>
    <cfRule type="expression" dxfId="7481" priority="755">
      <formula>$C10&gt;$E$3</formula>
    </cfRule>
  </conditionalFormatting>
  <conditionalFormatting sqref="K10">
    <cfRule type="expression" dxfId="7480" priority="751">
      <formula>$C10&lt;$E$3</formula>
    </cfRule>
  </conditionalFormatting>
  <conditionalFormatting sqref="K10">
    <cfRule type="expression" dxfId="7479" priority="747">
      <formula>$C10=$E$3</formula>
    </cfRule>
    <cfRule type="expression" dxfId="7478" priority="748">
      <formula>$C10&lt;$E$3</formula>
    </cfRule>
    <cfRule type="cellIs" dxfId="7477" priority="749" operator="equal">
      <formula>0</formula>
    </cfRule>
    <cfRule type="expression" dxfId="7476" priority="750">
      <formula>$C10&gt;$E$3</formula>
    </cfRule>
  </conditionalFormatting>
  <conditionalFormatting sqref="K10">
    <cfRule type="expression" dxfId="7475" priority="746">
      <formula>$C10&lt;$E$3</formula>
    </cfRule>
  </conditionalFormatting>
  <conditionalFormatting sqref="K10">
    <cfRule type="expression" dxfId="7474" priority="742">
      <formula>$C10=$E$3</formula>
    </cfRule>
    <cfRule type="expression" dxfId="7473" priority="743">
      <formula>$C10&lt;$E$3</formula>
    </cfRule>
    <cfRule type="cellIs" dxfId="7472" priority="744" operator="equal">
      <formula>0</formula>
    </cfRule>
    <cfRule type="expression" dxfId="7471" priority="745">
      <formula>$C10&gt;$E$3</formula>
    </cfRule>
  </conditionalFormatting>
  <conditionalFormatting sqref="K10">
    <cfRule type="expression" dxfId="7470" priority="741">
      <formula>$C10&lt;$E$3</formula>
    </cfRule>
  </conditionalFormatting>
  <conditionalFormatting sqref="K10">
    <cfRule type="expression" dxfId="7469" priority="737">
      <formula>$C10=$E$3</formula>
    </cfRule>
    <cfRule type="expression" dxfId="7468" priority="738">
      <formula>$C10&lt;$E$3</formula>
    </cfRule>
    <cfRule type="cellIs" dxfId="7467" priority="739" operator="equal">
      <formula>0</formula>
    </cfRule>
    <cfRule type="expression" dxfId="7466" priority="740">
      <formula>$C10&gt;$E$3</formula>
    </cfRule>
  </conditionalFormatting>
  <conditionalFormatting sqref="K10">
    <cfRule type="expression" dxfId="7465" priority="736">
      <formula>$E10=""</formula>
    </cfRule>
  </conditionalFormatting>
  <conditionalFormatting sqref="K10">
    <cfRule type="expression" dxfId="7464" priority="735">
      <formula>$C10&lt;$E$3</formula>
    </cfRule>
  </conditionalFormatting>
  <conditionalFormatting sqref="K10">
    <cfRule type="expression" dxfId="7463" priority="734">
      <formula>$E10=""</formula>
    </cfRule>
  </conditionalFormatting>
  <conditionalFormatting sqref="K10">
    <cfRule type="expression" dxfId="7462" priority="733">
      <formula>$E10=""</formula>
    </cfRule>
  </conditionalFormatting>
  <conditionalFormatting sqref="K10">
    <cfRule type="expression" dxfId="7461" priority="732">
      <formula>$C10&lt;$E$3</formula>
    </cfRule>
  </conditionalFormatting>
  <conditionalFormatting sqref="K10">
    <cfRule type="expression" dxfId="7460" priority="731">
      <formula>$E10=""</formula>
    </cfRule>
  </conditionalFormatting>
  <conditionalFormatting sqref="K10">
    <cfRule type="expression" dxfId="7459" priority="730">
      <formula>$C10&lt;$E$3</formula>
    </cfRule>
  </conditionalFormatting>
  <conditionalFormatting sqref="K10">
    <cfRule type="expression" dxfId="7458" priority="729">
      <formula>$E10=""</formula>
    </cfRule>
  </conditionalFormatting>
  <conditionalFormatting sqref="K10">
    <cfRule type="expression" dxfId="7457" priority="728">
      <formula>$C10&lt;$E$3</formula>
    </cfRule>
  </conditionalFormatting>
  <conditionalFormatting sqref="K10">
    <cfRule type="expression" dxfId="7456" priority="727">
      <formula>$E10=""</formula>
    </cfRule>
  </conditionalFormatting>
  <conditionalFormatting sqref="K10">
    <cfRule type="expression" dxfId="7455" priority="726">
      <formula>$C10&lt;$E$3</formula>
    </cfRule>
  </conditionalFormatting>
  <conditionalFormatting sqref="K10">
    <cfRule type="expression" dxfId="7454" priority="722">
      <formula>$C10=$E$3</formula>
    </cfRule>
    <cfRule type="expression" dxfId="7453" priority="723">
      <formula>$C10&lt;$E$3</formula>
    </cfRule>
    <cfRule type="cellIs" dxfId="7452" priority="724" operator="equal">
      <formula>0</formula>
    </cfRule>
    <cfRule type="expression" dxfId="7451" priority="725">
      <formula>$C10&gt;$E$3</formula>
    </cfRule>
  </conditionalFormatting>
  <conditionalFormatting sqref="K10">
    <cfRule type="expression" dxfId="7450" priority="721">
      <formula>$C10&lt;$E$3</formula>
    </cfRule>
  </conditionalFormatting>
  <conditionalFormatting sqref="K10">
    <cfRule type="expression" dxfId="7449" priority="717">
      <formula>$C10=$E$3</formula>
    </cfRule>
    <cfRule type="expression" dxfId="7448" priority="718">
      <formula>$C10&lt;$E$3</formula>
    </cfRule>
    <cfRule type="cellIs" dxfId="7447" priority="719" operator="equal">
      <formula>0</formula>
    </cfRule>
    <cfRule type="expression" dxfId="7446" priority="720">
      <formula>$C10&gt;$E$3</formula>
    </cfRule>
  </conditionalFormatting>
  <conditionalFormatting sqref="K10">
    <cfRule type="expression" dxfId="7445" priority="716">
      <formula>$C10&lt;$E$3</formula>
    </cfRule>
  </conditionalFormatting>
  <conditionalFormatting sqref="K10">
    <cfRule type="expression" dxfId="7444" priority="712">
      <formula>$C10=$E$3</formula>
    </cfRule>
    <cfRule type="expression" dxfId="7443" priority="713">
      <formula>$C10&lt;$E$3</formula>
    </cfRule>
    <cfRule type="cellIs" dxfId="7442" priority="714" operator="equal">
      <formula>0</formula>
    </cfRule>
    <cfRule type="expression" dxfId="7441" priority="715">
      <formula>$C10&gt;$E$3</formula>
    </cfRule>
  </conditionalFormatting>
  <conditionalFormatting sqref="K10">
    <cfRule type="expression" dxfId="7440" priority="711">
      <formula>$C10&lt;$E$3</formula>
    </cfRule>
  </conditionalFormatting>
  <conditionalFormatting sqref="K10">
    <cfRule type="expression" dxfId="7439" priority="707">
      <formula>$C10=$E$3</formula>
    </cfRule>
    <cfRule type="expression" dxfId="7438" priority="708">
      <formula>$C10&lt;$E$3</formula>
    </cfRule>
    <cfRule type="cellIs" dxfId="7437" priority="709" operator="equal">
      <formula>0</formula>
    </cfRule>
    <cfRule type="expression" dxfId="7436" priority="710">
      <formula>$C10&gt;$E$3</formula>
    </cfRule>
  </conditionalFormatting>
  <conditionalFormatting sqref="K10">
    <cfRule type="expression" dxfId="7435" priority="706">
      <formula>$E10=""</formula>
    </cfRule>
  </conditionalFormatting>
  <conditionalFormatting sqref="K10">
    <cfRule type="expression" dxfId="7434" priority="705">
      <formula>$C10&lt;$E$3</formula>
    </cfRule>
  </conditionalFormatting>
  <conditionalFormatting sqref="K10">
    <cfRule type="expression" dxfId="7433" priority="704">
      <formula>$E10=""</formula>
    </cfRule>
  </conditionalFormatting>
  <conditionalFormatting sqref="K10">
    <cfRule type="expression" dxfId="7432" priority="703">
      <formula>$E10=""</formula>
    </cfRule>
  </conditionalFormatting>
  <conditionalFormatting sqref="K10">
    <cfRule type="expression" dxfId="7431" priority="702">
      <formula>$C10&lt;$E$3</formula>
    </cfRule>
  </conditionalFormatting>
  <conditionalFormatting sqref="K10">
    <cfRule type="expression" dxfId="7430" priority="701">
      <formula>$E10=""</formula>
    </cfRule>
  </conditionalFormatting>
  <conditionalFormatting sqref="K10">
    <cfRule type="expression" dxfId="7429" priority="700">
      <formula>$C10&lt;$E$3</formula>
    </cfRule>
  </conditionalFormatting>
  <conditionalFormatting sqref="K10">
    <cfRule type="expression" dxfId="7428" priority="699">
      <formula>$E10=""</formula>
    </cfRule>
  </conditionalFormatting>
  <conditionalFormatting sqref="K10">
    <cfRule type="expression" dxfId="7427" priority="698">
      <formula>$C10&lt;$E$3</formula>
    </cfRule>
  </conditionalFormatting>
  <conditionalFormatting sqref="K10">
    <cfRule type="expression" dxfId="7426" priority="697">
      <formula>$E10=""</formula>
    </cfRule>
  </conditionalFormatting>
  <conditionalFormatting sqref="K5:K9">
    <cfRule type="expression" dxfId="7425" priority="696">
      <formula>$C5&lt;$E$3</formula>
    </cfRule>
  </conditionalFormatting>
  <conditionalFormatting sqref="K5:K9">
    <cfRule type="expression" dxfId="7424" priority="692">
      <formula>$C5=$E$3</formula>
    </cfRule>
    <cfRule type="expression" dxfId="7423" priority="693">
      <formula>$C5&lt;$E$3</formula>
    </cfRule>
    <cfRule type="cellIs" dxfId="7422" priority="694" operator="equal">
      <formula>0</formula>
    </cfRule>
    <cfRule type="expression" dxfId="7421" priority="695">
      <formula>$C5&gt;$E$3</formula>
    </cfRule>
  </conditionalFormatting>
  <conditionalFormatting sqref="K5:K9">
    <cfRule type="expression" dxfId="7420" priority="691">
      <formula>$C5&lt;$E$3</formula>
    </cfRule>
  </conditionalFormatting>
  <conditionalFormatting sqref="K5:K9">
    <cfRule type="expression" dxfId="7419" priority="687">
      <formula>$C5=$E$3</formula>
    </cfRule>
    <cfRule type="expression" dxfId="7418" priority="688">
      <formula>$C5&lt;$E$3</formula>
    </cfRule>
    <cfRule type="cellIs" dxfId="7417" priority="689" operator="equal">
      <formula>0</formula>
    </cfRule>
    <cfRule type="expression" dxfId="7416" priority="690">
      <formula>$C5&gt;$E$3</formula>
    </cfRule>
  </conditionalFormatting>
  <conditionalFormatting sqref="K5:K9">
    <cfRule type="expression" dxfId="7415" priority="686">
      <formula>$C5&lt;$E$3</formula>
    </cfRule>
  </conditionalFormatting>
  <conditionalFormatting sqref="K5:K9">
    <cfRule type="expression" dxfId="7414" priority="682">
      <formula>$C5=$E$3</formula>
    </cfRule>
    <cfRule type="expression" dxfId="7413" priority="683">
      <formula>$C5&lt;$E$3</formula>
    </cfRule>
    <cfRule type="cellIs" dxfId="7412" priority="684" operator="equal">
      <formula>0</formula>
    </cfRule>
    <cfRule type="expression" dxfId="7411" priority="685">
      <formula>$C5&gt;$E$3</formula>
    </cfRule>
  </conditionalFormatting>
  <conditionalFormatting sqref="K5:K9">
    <cfRule type="expression" dxfId="7410" priority="681">
      <formula>$C5&lt;$E$3</formula>
    </cfRule>
  </conditionalFormatting>
  <conditionalFormatting sqref="K5:K9">
    <cfRule type="expression" dxfId="7409" priority="677">
      <formula>$C5=$E$3</formula>
    </cfRule>
    <cfRule type="expression" dxfId="7408" priority="678">
      <formula>$C5&lt;$E$3</formula>
    </cfRule>
    <cfRule type="cellIs" dxfId="7407" priority="679" operator="equal">
      <formula>0</formula>
    </cfRule>
    <cfRule type="expression" dxfId="7406" priority="680">
      <formula>$C5&gt;$E$3</formula>
    </cfRule>
  </conditionalFormatting>
  <conditionalFormatting sqref="K5:K9">
    <cfRule type="expression" dxfId="7405" priority="676">
      <formula>$E5=""</formula>
    </cfRule>
  </conditionalFormatting>
  <conditionalFormatting sqref="K5:K9">
    <cfRule type="expression" dxfId="7404" priority="675">
      <formula>$C5&lt;$E$3</formula>
    </cfRule>
  </conditionalFormatting>
  <conditionalFormatting sqref="K5:K9">
    <cfRule type="expression" dxfId="7403" priority="674">
      <formula>$E5=""</formula>
    </cfRule>
  </conditionalFormatting>
  <conditionalFormatting sqref="K5:K9">
    <cfRule type="expression" dxfId="7402" priority="673">
      <formula>$E5=""</formula>
    </cfRule>
  </conditionalFormatting>
  <conditionalFormatting sqref="K5:K9">
    <cfRule type="expression" dxfId="7401" priority="672">
      <formula>$C5&lt;$E$3</formula>
    </cfRule>
  </conditionalFormatting>
  <conditionalFormatting sqref="K5:K9">
    <cfRule type="expression" dxfId="7400" priority="671">
      <formula>$E5=""</formula>
    </cfRule>
  </conditionalFormatting>
  <conditionalFormatting sqref="K5:K9">
    <cfRule type="expression" dxfId="7399" priority="670">
      <formula>$C5&lt;$E$3</formula>
    </cfRule>
  </conditionalFormatting>
  <conditionalFormatting sqref="K5:K9">
    <cfRule type="expression" dxfId="7398" priority="669">
      <formula>$E5=""</formula>
    </cfRule>
  </conditionalFormatting>
  <conditionalFormatting sqref="K5:K9">
    <cfRule type="expression" dxfId="7397" priority="668">
      <formula>$C5&lt;$E$3</formula>
    </cfRule>
  </conditionalFormatting>
  <conditionalFormatting sqref="K5:K9">
    <cfRule type="expression" dxfId="7396" priority="667">
      <formula>$E5=""</formula>
    </cfRule>
  </conditionalFormatting>
  <conditionalFormatting sqref="K5:K9">
    <cfRule type="expression" dxfId="7395" priority="666">
      <formula>$C5&lt;$E$3</formula>
    </cfRule>
  </conditionalFormatting>
  <conditionalFormatting sqref="K5:K9">
    <cfRule type="expression" dxfId="7394" priority="662">
      <formula>$C5=$E$3</formula>
    </cfRule>
    <cfRule type="expression" dxfId="7393" priority="663">
      <formula>$C5&lt;$E$3</formula>
    </cfRule>
    <cfRule type="cellIs" dxfId="7392" priority="664" operator="equal">
      <formula>0</formula>
    </cfRule>
    <cfRule type="expression" dxfId="7391" priority="665">
      <formula>$C5&gt;$E$3</formula>
    </cfRule>
  </conditionalFormatting>
  <conditionalFormatting sqref="K5:K9">
    <cfRule type="expression" dxfId="7390" priority="661">
      <formula>$C5&lt;$E$3</formula>
    </cfRule>
  </conditionalFormatting>
  <conditionalFormatting sqref="K5:K9">
    <cfRule type="expression" dxfId="7389" priority="657">
      <formula>$C5=$E$3</formula>
    </cfRule>
    <cfRule type="expression" dxfId="7388" priority="658">
      <formula>$C5&lt;$E$3</formula>
    </cfRule>
    <cfRule type="cellIs" dxfId="7387" priority="659" operator="equal">
      <formula>0</formula>
    </cfRule>
    <cfRule type="expression" dxfId="7386" priority="660">
      <formula>$C5&gt;$E$3</formula>
    </cfRule>
  </conditionalFormatting>
  <conditionalFormatting sqref="K5:K9">
    <cfRule type="expression" dxfId="7385" priority="656">
      <formula>$C5&lt;$E$3</formula>
    </cfRule>
  </conditionalFormatting>
  <conditionalFormatting sqref="K5:K9">
    <cfRule type="expression" dxfId="7384" priority="652">
      <formula>$C5=$E$3</formula>
    </cfRule>
    <cfRule type="expression" dxfId="7383" priority="653">
      <formula>$C5&lt;$E$3</formula>
    </cfRule>
    <cfRule type="cellIs" dxfId="7382" priority="654" operator="equal">
      <formula>0</formula>
    </cfRule>
    <cfRule type="expression" dxfId="7381" priority="655">
      <formula>$C5&gt;$E$3</formula>
    </cfRule>
  </conditionalFormatting>
  <conditionalFormatting sqref="K5:K9">
    <cfRule type="expression" dxfId="7380" priority="651">
      <formula>$C5&lt;$E$3</formula>
    </cfRule>
  </conditionalFormatting>
  <conditionalFormatting sqref="K5:K9">
    <cfRule type="expression" dxfId="7379" priority="647">
      <formula>$C5=$E$3</formula>
    </cfRule>
    <cfRule type="expression" dxfId="7378" priority="648">
      <formula>$C5&lt;$E$3</formula>
    </cfRule>
    <cfRule type="cellIs" dxfId="7377" priority="649" operator="equal">
      <formula>0</formula>
    </cfRule>
    <cfRule type="expression" dxfId="7376" priority="650">
      <formula>$C5&gt;$E$3</formula>
    </cfRule>
  </conditionalFormatting>
  <conditionalFormatting sqref="K5:K9">
    <cfRule type="expression" dxfId="7375" priority="646">
      <formula>$E5=""</formula>
    </cfRule>
  </conditionalFormatting>
  <conditionalFormatting sqref="K5:K9">
    <cfRule type="expression" dxfId="7374" priority="645">
      <formula>$C5&lt;$E$3</formula>
    </cfRule>
  </conditionalFormatting>
  <conditionalFormatting sqref="K5:K9">
    <cfRule type="expression" dxfId="7373" priority="644">
      <formula>$E5=""</formula>
    </cfRule>
  </conditionalFormatting>
  <conditionalFormatting sqref="K5:K9">
    <cfRule type="expression" dxfId="7372" priority="643">
      <formula>$E5=""</formula>
    </cfRule>
  </conditionalFormatting>
  <conditionalFormatting sqref="K5:K9">
    <cfRule type="expression" dxfId="7371" priority="642">
      <formula>$C5&lt;$E$3</formula>
    </cfRule>
  </conditionalFormatting>
  <conditionalFormatting sqref="K5:K9">
    <cfRule type="expression" dxfId="7370" priority="641">
      <formula>$E5=""</formula>
    </cfRule>
  </conditionalFormatting>
  <conditionalFormatting sqref="K5:K9">
    <cfRule type="expression" dxfId="7369" priority="640">
      <formula>$C5&lt;$E$3</formula>
    </cfRule>
  </conditionalFormatting>
  <conditionalFormatting sqref="K5:K9">
    <cfRule type="expression" dxfId="7368" priority="639">
      <formula>$E5=""</formula>
    </cfRule>
  </conditionalFormatting>
  <conditionalFormatting sqref="K5:K9">
    <cfRule type="expression" dxfId="7367" priority="638">
      <formula>$C5&lt;$E$3</formula>
    </cfRule>
  </conditionalFormatting>
  <conditionalFormatting sqref="K5:K9">
    <cfRule type="expression" dxfId="7366" priority="637">
      <formula>$E5=""</formula>
    </cfRule>
  </conditionalFormatting>
  <conditionalFormatting sqref="K5:K11">
    <cfRule type="expression" dxfId="7365" priority="635">
      <formula>$C5&lt;$E$3</formula>
    </cfRule>
  </conditionalFormatting>
  <conditionalFormatting sqref="K5:K11">
    <cfRule type="expression" dxfId="7364" priority="632">
      <formula>$C5=$E$3</formula>
    </cfRule>
    <cfRule type="expression" dxfId="7363" priority="633">
      <formula>$C5&lt;$E$3</formula>
    </cfRule>
    <cfRule type="cellIs" dxfId="7362" priority="634" operator="equal">
      <formula>0</formula>
    </cfRule>
    <cfRule type="expression" dxfId="7361" priority="636">
      <formula>$C5&gt;$E$3</formula>
    </cfRule>
  </conditionalFormatting>
  <conditionalFormatting sqref="K5:K11">
    <cfRule type="expression" dxfId="7360" priority="631">
      <formula>$E5=""</formula>
    </cfRule>
  </conditionalFormatting>
  <conditionalFormatting sqref="K5:K11">
    <cfRule type="expression" dxfId="7359" priority="630">
      <formula>$E5=""</formula>
    </cfRule>
  </conditionalFormatting>
  <conditionalFormatting sqref="K5:K11">
    <cfRule type="expression" dxfId="7358" priority="629">
      <formula>$E5=""</formula>
    </cfRule>
  </conditionalFormatting>
  <conditionalFormatting sqref="K14:K20">
    <cfRule type="cellIs" dxfId="7357" priority="628" stopIfTrue="1" operator="lessThan">
      <formula>0</formula>
    </cfRule>
  </conditionalFormatting>
  <conditionalFormatting sqref="K14:K20">
    <cfRule type="expression" dxfId="7356" priority="626">
      <formula>$C14&lt;$E$3</formula>
    </cfRule>
  </conditionalFormatting>
  <conditionalFormatting sqref="K14:K20">
    <cfRule type="expression" dxfId="7355" priority="623">
      <formula>$C14=$E$3</formula>
    </cfRule>
    <cfRule type="expression" dxfId="7354" priority="624">
      <formula>$C14&lt;$E$3</formula>
    </cfRule>
    <cfRule type="cellIs" dxfId="7353" priority="625" operator="equal">
      <formula>0</formula>
    </cfRule>
    <cfRule type="expression" dxfId="7352" priority="627">
      <formula>$C14&gt;$E$3</formula>
    </cfRule>
  </conditionalFormatting>
  <conditionalFormatting sqref="K14:K20">
    <cfRule type="expression" dxfId="7351" priority="622">
      <formula>$E14=""</formula>
    </cfRule>
  </conditionalFormatting>
  <conditionalFormatting sqref="K14:K20">
    <cfRule type="expression" dxfId="7350" priority="621">
      <formula>$E14=""</formula>
    </cfRule>
  </conditionalFormatting>
  <conditionalFormatting sqref="K14:K20">
    <cfRule type="expression" dxfId="7349" priority="620">
      <formula>$E14=""</formula>
    </cfRule>
  </conditionalFormatting>
  <conditionalFormatting sqref="K19">
    <cfRule type="expression" dxfId="7348" priority="619">
      <formula>$C19&lt;$E$3</formula>
    </cfRule>
  </conditionalFormatting>
  <conditionalFormatting sqref="K19">
    <cfRule type="expression" dxfId="7347" priority="615">
      <formula>$C19=$E$3</formula>
    </cfRule>
    <cfRule type="expression" dxfId="7346" priority="616">
      <formula>$C19&lt;$E$3</formula>
    </cfRule>
    <cfRule type="cellIs" dxfId="7345" priority="617" operator="equal">
      <formula>0</formula>
    </cfRule>
    <cfRule type="expression" dxfId="7344" priority="618">
      <formula>$C19&gt;$E$3</formula>
    </cfRule>
  </conditionalFormatting>
  <conditionalFormatting sqref="K19">
    <cfRule type="expression" dxfId="7343" priority="614">
      <formula>$C19&lt;$E$3</formula>
    </cfRule>
  </conditionalFormatting>
  <conditionalFormatting sqref="K19">
    <cfRule type="expression" dxfId="7342" priority="610">
      <formula>$C19=$E$3</formula>
    </cfRule>
    <cfRule type="expression" dxfId="7341" priority="611">
      <formula>$C19&lt;$E$3</formula>
    </cfRule>
    <cfRule type="cellIs" dxfId="7340" priority="612" operator="equal">
      <formula>0</formula>
    </cfRule>
    <cfRule type="expression" dxfId="7339" priority="613">
      <formula>$C19&gt;$E$3</formula>
    </cfRule>
  </conditionalFormatting>
  <conditionalFormatting sqref="K19">
    <cfRule type="expression" dxfId="7338" priority="609">
      <formula>$C19&lt;$E$3</formula>
    </cfRule>
  </conditionalFormatting>
  <conditionalFormatting sqref="K19">
    <cfRule type="expression" dxfId="7337" priority="605">
      <formula>$C19=$E$3</formula>
    </cfRule>
    <cfRule type="expression" dxfId="7336" priority="606">
      <formula>$C19&lt;$E$3</formula>
    </cfRule>
    <cfRule type="cellIs" dxfId="7335" priority="607" operator="equal">
      <formula>0</formula>
    </cfRule>
    <cfRule type="expression" dxfId="7334" priority="608">
      <formula>$C19&gt;$E$3</formula>
    </cfRule>
  </conditionalFormatting>
  <conditionalFormatting sqref="K19">
    <cfRule type="expression" dxfId="7333" priority="604">
      <formula>$C19&lt;$E$3</formula>
    </cfRule>
  </conditionalFormatting>
  <conditionalFormatting sqref="K19">
    <cfRule type="expression" dxfId="7332" priority="600">
      <formula>$C19=$E$3</formula>
    </cfRule>
    <cfRule type="expression" dxfId="7331" priority="601">
      <formula>$C19&lt;$E$3</formula>
    </cfRule>
    <cfRule type="cellIs" dxfId="7330" priority="602" operator="equal">
      <formula>0</formula>
    </cfRule>
    <cfRule type="expression" dxfId="7329" priority="603">
      <formula>$C19&gt;$E$3</formula>
    </cfRule>
  </conditionalFormatting>
  <conditionalFormatting sqref="K19">
    <cfRule type="expression" dxfId="7328" priority="599">
      <formula>$E19=""</formula>
    </cfRule>
  </conditionalFormatting>
  <conditionalFormatting sqref="K19">
    <cfRule type="expression" dxfId="7327" priority="598">
      <formula>$C19&lt;$E$3</formula>
    </cfRule>
  </conditionalFormatting>
  <conditionalFormatting sqref="K19">
    <cfRule type="expression" dxfId="7326" priority="597">
      <formula>$E19=""</formula>
    </cfRule>
  </conditionalFormatting>
  <conditionalFormatting sqref="K19">
    <cfRule type="expression" dxfId="7325" priority="596">
      <formula>$E19=""</formula>
    </cfRule>
  </conditionalFormatting>
  <conditionalFormatting sqref="K19">
    <cfRule type="expression" dxfId="7324" priority="595">
      <formula>$C19&lt;$E$3</formula>
    </cfRule>
  </conditionalFormatting>
  <conditionalFormatting sqref="K19">
    <cfRule type="expression" dxfId="7323" priority="594">
      <formula>$E19=""</formula>
    </cfRule>
  </conditionalFormatting>
  <conditionalFormatting sqref="K19">
    <cfRule type="expression" dxfId="7322" priority="593">
      <formula>$C19&lt;$E$3</formula>
    </cfRule>
  </conditionalFormatting>
  <conditionalFormatting sqref="K19">
    <cfRule type="expression" dxfId="7321" priority="592">
      <formula>$E19=""</formula>
    </cfRule>
  </conditionalFormatting>
  <conditionalFormatting sqref="K19">
    <cfRule type="expression" dxfId="7320" priority="591">
      <formula>$C19&lt;$E$3</formula>
    </cfRule>
  </conditionalFormatting>
  <conditionalFormatting sqref="K19">
    <cfRule type="expression" dxfId="7319" priority="590">
      <formula>$E19=""</formula>
    </cfRule>
  </conditionalFormatting>
  <conditionalFormatting sqref="K19">
    <cfRule type="expression" dxfId="7318" priority="589">
      <formula>$C19&lt;$E$3</formula>
    </cfRule>
  </conditionalFormatting>
  <conditionalFormatting sqref="K19">
    <cfRule type="expression" dxfId="7317" priority="585">
      <formula>$C19=$E$3</formula>
    </cfRule>
    <cfRule type="expression" dxfId="7316" priority="586">
      <formula>$C19&lt;$E$3</formula>
    </cfRule>
    <cfRule type="cellIs" dxfId="7315" priority="587" operator="equal">
      <formula>0</formula>
    </cfRule>
    <cfRule type="expression" dxfId="7314" priority="588">
      <formula>$C19&gt;$E$3</formula>
    </cfRule>
  </conditionalFormatting>
  <conditionalFormatting sqref="K19">
    <cfRule type="expression" dxfId="7313" priority="584">
      <formula>$C19&lt;$E$3</formula>
    </cfRule>
  </conditionalFormatting>
  <conditionalFormatting sqref="K19">
    <cfRule type="expression" dxfId="7312" priority="580">
      <formula>$C19=$E$3</formula>
    </cfRule>
    <cfRule type="expression" dxfId="7311" priority="581">
      <formula>$C19&lt;$E$3</formula>
    </cfRule>
    <cfRule type="cellIs" dxfId="7310" priority="582" operator="equal">
      <formula>0</formula>
    </cfRule>
    <cfRule type="expression" dxfId="7309" priority="583">
      <formula>$C19&gt;$E$3</formula>
    </cfRule>
  </conditionalFormatting>
  <conditionalFormatting sqref="K19">
    <cfRule type="expression" dxfId="7308" priority="579">
      <formula>$C19&lt;$E$3</formula>
    </cfRule>
  </conditionalFormatting>
  <conditionalFormatting sqref="K19">
    <cfRule type="expression" dxfId="7307" priority="575">
      <formula>$C19=$E$3</formula>
    </cfRule>
    <cfRule type="expression" dxfId="7306" priority="576">
      <formula>$C19&lt;$E$3</formula>
    </cfRule>
    <cfRule type="cellIs" dxfId="7305" priority="577" operator="equal">
      <formula>0</formula>
    </cfRule>
    <cfRule type="expression" dxfId="7304" priority="578">
      <formula>$C19&gt;$E$3</formula>
    </cfRule>
  </conditionalFormatting>
  <conditionalFormatting sqref="K19">
    <cfRule type="expression" dxfId="7303" priority="574">
      <formula>$C19&lt;$E$3</formula>
    </cfRule>
  </conditionalFormatting>
  <conditionalFormatting sqref="K19">
    <cfRule type="expression" dxfId="7302" priority="570">
      <formula>$C19=$E$3</formula>
    </cfRule>
    <cfRule type="expression" dxfId="7301" priority="571">
      <formula>$C19&lt;$E$3</formula>
    </cfRule>
    <cfRule type="cellIs" dxfId="7300" priority="572" operator="equal">
      <formula>0</formula>
    </cfRule>
    <cfRule type="expression" dxfId="7299" priority="573">
      <formula>$C19&gt;$E$3</formula>
    </cfRule>
  </conditionalFormatting>
  <conditionalFormatting sqref="K19">
    <cfRule type="expression" dxfId="7298" priority="569">
      <formula>$E19=""</formula>
    </cfRule>
  </conditionalFormatting>
  <conditionalFormatting sqref="K19">
    <cfRule type="expression" dxfId="7297" priority="568">
      <formula>$C19&lt;$E$3</formula>
    </cfRule>
  </conditionalFormatting>
  <conditionalFormatting sqref="K19">
    <cfRule type="expression" dxfId="7296" priority="567">
      <formula>$E19=""</formula>
    </cfRule>
  </conditionalFormatting>
  <conditionalFormatting sqref="K19">
    <cfRule type="expression" dxfId="7295" priority="566">
      <formula>$E19=""</formula>
    </cfRule>
  </conditionalFormatting>
  <conditionalFormatting sqref="K19">
    <cfRule type="expression" dxfId="7294" priority="565">
      <formula>$C19&lt;$E$3</formula>
    </cfRule>
  </conditionalFormatting>
  <conditionalFormatting sqref="K19">
    <cfRule type="expression" dxfId="7293" priority="564">
      <formula>$E19=""</formula>
    </cfRule>
  </conditionalFormatting>
  <conditionalFormatting sqref="K19">
    <cfRule type="expression" dxfId="7292" priority="563">
      <formula>$C19&lt;$E$3</formula>
    </cfRule>
  </conditionalFormatting>
  <conditionalFormatting sqref="K19">
    <cfRule type="expression" dxfId="7291" priority="562">
      <formula>$E19=""</formula>
    </cfRule>
  </conditionalFormatting>
  <conditionalFormatting sqref="K19">
    <cfRule type="expression" dxfId="7290" priority="561">
      <formula>$C19&lt;$E$3</formula>
    </cfRule>
  </conditionalFormatting>
  <conditionalFormatting sqref="K19">
    <cfRule type="expression" dxfId="7289" priority="560">
      <formula>$E19=""</formula>
    </cfRule>
  </conditionalFormatting>
  <conditionalFormatting sqref="K14:K18">
    <cfRule type="expression" dxfId="7288" priority="559">
      <formula>$C14&lt;$E$3</formula>
    </cfRule>
  </conditionalFormatting>
  <conditionalFormatting sqref="K14:K18">
    <cfRule type="expression" dxfId="7287" priority="555">
      <formula>$C14=$E$3</formula>
    </cfRule>
    <cfRule type="expression" dxfId="7286" priority="556">
      <formula>$C14&lt;$E$3</formula>
    </cfRule>
    <cfRule type="cellIs" dxfId="7285" priority="557" operator="equal">
      <formula>0</formula>
    </cfRule>
    <cfRule type="expression" dxfId="7284" priority="558">
      <formula>$C14&gt;$E$3</formula>
    </cfRule>
  </conditionalFormatting>
  <conditionalFormatting sqref="K14:K18">
    <cfRule type="expression" dxfId="7283" priority="554">
      <formula>$C14&lt;$E$3</formula>
    </cfRule>
  </conditionalFormatting>
  <conditionalFormatting sqref="K14:K18">
    <cfRule type="expression" dxfId="7282" priority="550">
      <formula>$C14=$E$3</formula>
    </cfRule>
    <cfRule type="expression" dxfId="7281" priority="551">
      <formula>$C14&lt;$E$3</formula>
    </cfRule>
    <cfRule type="cellIs" dxfId="7280" priority="552" operator="equal">
      <formula>0</formula>
    </cfRule>
    <cfRule type="expression" dxfId="7279" priority="553">
      <formula>$C14&gt;$E$3</formula>
    </cfRule>
  </conditionalFormatting>
  <conditionalFormatting sqref="K14:K18">
    <cfRule type="expression" dxfId="7278" priority="549">
      <formula>$C14&lt;$E$3</formula>
    </cfRule>
  </conditionalFormatting>
  <conditionalFormatting sqref="K14:K18">
    <cfRule type="expression" dxfId="7277" priority="545">
      <formula>$C14=$E$3</formula>
    </cfRule>
    <cfRule type="expression" dxfId="7276" priority="546">
      <formula>$C14&lt;$E$3</formula>
    </cfRule>
    <cfRule type="cellIs" dxfId="7275" priority="547" operator="equal">
      <formula>0</formula>
    </cfRule>
    <cfRule type="expression" dxfId="7274" priority="548">
      <formula>$C14&gt;$E$3</formula>
    </cfRule>
  </conditionalFormatting>
  <conditionalFormatting sqref="K14:K18">
    <cfRule type="expression" dxfId="7273" priority="544">
      <formula>$C14&lt;$E$3</formula>
    </cfRule>
  </conditionalFormatting>
  <conditionalFormatting sqref="K14:K18">
    <cfRule type="expression" dxfId="7272" priority="540">
      <formula>$C14=$E$3</formula>
    </cfRule>
    <cfRule type="expression" dxfId="7271" priority="541">
      <formula>$C14&lt;$E$3</formula>
    </cfRule>
    <cfRule type="cellIs" dxfId="7270" priority="542" operator="equal">
      <formula>0</formula>
    </cfRule>
    <cfRule type="expression" dxfId="7269" priority="543">
      <formula>$C14&gt;$E$3</formula>
    </cfRule>
  </conditionalFormatting>
  <conditionalFormatting sqref="K14:K18">
    <cfRule type="expression" dxfId="7268" priority="539">
      <formula>$E14=""</formula>
    </cfRule>
  </conditionalFormatting>
  <conditionalFormatting sqref="K14:K18">
    <cfRule type="expression" dxfId="7267" priority="538">
      <formula>$C14&lt;$E$3</formula>
    </cfRule>
  </conditionalFormatting>
  <conditionalFormatting sqref="K14:K18">
    <cfRule type="expression" dxfId="7266" priority="537">
      <formula>$E14=""</formula>
    </cfRule>
  </conditionalFormatting>
  <conditionalFormatting sqref="K14:K18">
    <cfRule type="expression" dxfId="7265" priority="536">
      <formula>$E14=""</formula>
    </cfRule>
  </conditionalFormatting>
  <conditionalFormatting sqref="K14:K18">
    <cfRule type="expression" dxfId="7264" priority="535">
      <formula>$C14&lt;$E$3</formula>
    </cfRule>
  </conditionalFormatting>
  <conditionalFormatting sqref="K14:K18">
    <cfRule type="expression" dxfId="7263" priority="534">
      <formula>$E14=""</formula>
    </cfRule>
  </conditionalFormatting>
  <conditionalFormatting sqref="K14:K18">
    <cfRule type="expression" dxfId="7262" priority="533">
      <formula>$C14&lt;$E$3</formula>
    </cfRule>
  </conditionalFormatting>
  <conditionalFormatting sqref="K14:K18">
    <cfRule type="expression" dxfId="7261" priority="532">
      <formula>$E14=""</formula>
    </cfRule>
  </conditionalFormatting>
  <conditionalFormatting sqref="K14:K18">
    <cfRule type="expression" dxfId="7260" priority="531">
      <formula>$C14&lt;$E$3</formula>
    </cfRule>
  </conditionalFormatting>
  <conditionalFormatting sqref="K14:K18">
    <cfRule type="expression" dxfId="7259" priority="530">
      <formula>$E14=""</formula>
    </cfRule>
  </conditionalFormatting>
  <conditionalFormatting sqref="K14:K18">
    <cfRule type="expression" dxfId="7258" priority="529">
      <formula>$C14&lt;$E$3</formula>
    </cfRule>
  </conditionalFormatting>
  <conditionalFormatting sqref="K14:K18">
    <cfRule type="expression" dxfId="7257" priority="525">
      <formula>$C14=$E$3</formula>
    </cfRule>
    <cfRule type="expression" dxfId="7256" priority="526">
      <formula>$C14&lt;$E$3</formula>
    </cfRule>
    <cfRule type="cellIs" dxfId="7255" priority="527" operator="equal">
      <formula>0</formula>
    </cfRule>
    <cfRule type="expression" dxfId="7254" priority="528">
      <formula>$C14&gt;$E$3</formula>
    </cfRule>
  </conditionalFormatting>
  <conditionalFormatting sqref="K14:K18">
    <cfRule type="expression" dxfId="7253" priority="524">
      <formula>$C14&lt;$E$3</formula>
    </cfRule>
  </conditionalFormatting>
  <conditionalFormatting sqref="K14:K18">
    <cfRule type="expression" dxfId="7252" priority="520">
      <formula>$C14=$E$3</formula>
    </cfRule>
    <cfRule type="expression" dxfId="7251" priority="521">
      <formula>$C14&lt;$E$3</formula>
    </cfRule>
    <cfRule type="cellIs" dxfId="7250" priority="522" operator="equal">
      <formula>0</formula>
    </cfRule>
    <cfRule type="expression" dxfId="7249" priority="523">
      <formula>$C14&gt;$E$3</formula>
    </cfRule>
  </conditionalFormatting>
  <conditionalFormatting sqref="K14:K18">
    <cfRule type="expression" dxfId="7248" priority="519">
      <formula>$C14&lt;$E$3</formula>
    </cfRule>
  </conditionalFormatting>
  <conditionalFormatting sqref="K14:K18">
    <cfRule type="expression" dxfId="7247" priority="515">
      <formula>$C14=$E$3</formula>
    </cfRule>
    <cfRule type="expression" dxfId="7246" priority="516">
      <formula>$C14&lt;$E$3</formula>
    </cfRule>
    <cfRule type="cellIs" dxfId="7245" priority="517" operator="equal">
      <formula>0</formula>
    </cfRule>
    <cfRule type="expression" dxfId="7244" priority="518">
      <formula>$C14&gt;$E$3</formula>
    </cfRule>
  </conditionalFormatting>
  <conditionalFormatting sqref="K14:K18">
    <cfRule type="expression" dxfId="7243" priority="514">
      <formula>$C14&lt;$E$3</formula>
    </cfRule>
  </conditionalFormatting>
  <conditionalFormatting sqref="K14:K18">
    <cfRule type="expression" dxfId="7242" priority="510">
      <formula>$C14=$E$3</formula>
    </cfRule>
    <cfRule type="expression" dxfId="7241" priority="511">
      <formula>$C14&lt;$E$3</formula>
    </cfRule>
    <cfRule type="cellIs" dxfId="7240" priority="512" operator="equal">
      <formula>0</formula>
    </cfRule>
    <cfRule type="expression" dxfId="7239" priority="513">
      <formula>$C14&gt;$E$3</formula>
    </cfRule>
  </conditionalFormatting>
  <conditionalFormatting sqref="K14:K18">
    <cfRule type="expression" dxfId="7238" priority="509">
      <formula>$E14=""</formula>
    </cfRule>
  </conditionalFormatting>
  <conditionalFormatting sqref="K14:K18">
    <cfRule type="expression" dxfId="7237" priority="508">
      <formula>$C14&lt;$E$3</formula>
    </cfRule>
  </conditionalFormatting>
  <conditionalFormatting sqref="K14:K18">
    <cfRule type="expression" dxfId="7236" priority="507">
      <formula>$E14=""</formula>
    </cfRule>
  </conditionalFormatting>
  <conditionalFormatting sqref="K14:K18">
    <cfRule type="expression" dxfId="7235" priority="506">
      <formula>$E14=""</formula>
    </cfRule>
  </conditionalFormatting>
  <conditionalFormatting sqref="K14:K18">
    <cfRule type="expression" dxfId="7234" priority="505">
      <formula>$C14&lt;$E$3</formula>
    </cfRule>
  </conditionalFormatting>
  <conditionalFormatting sqref="K14:K18">
    <cfRule type="expression" dxfId="7233" priority="504">
      <formula>$E14=""</formula>
    </cfRule>
  </conditionalFormatting>
  <conditionalFormatting sqref="K14:K18">
    <cfRule type="expression" dxfId="7232" priority="503">
      <formula>$C14&lt;$E$3</formula>
    </cfRule>
  </conditionalFormatting>
  <conditionalFormatting sqref="K14:K18">
    <cfRule type="expression" dxfId="7231" priority="502">
      <formula>$E14=""</formula>
    </cfRule>
  </conditionalFormatting>
  <conditionalFormatting sqref="K14:K18">
    <cfRule type="expression" dxfId="7230" priority="501">
      <formula>$C14&lt;$E$3</formula>
    </cfRule>
  </conditionalFormatting>
  <conditionalFormatting sqref="K14:K18">
    <cfRule type="expression" dxfId="7229" priority="500">
      <formula>$E14=""</formula>
    </cfRule>
  </conditionalFormatting>
  <conditionalFormatting sqref="K14:K20">
    <cfRule type="expression" dxfId="7228" priority="498">
      <formula>$C14&lt;$E$3</formula>
    </cfRule>
  </conditionalFormatting>
  <conditionalFormatting sqref="K14:K20">
    <cfRule type="expression" dxfId="7227" priority="495">
      <formula>$C14=$E$3</formula>
    </cfRule>
    <cfRule type="expression" dxfId="7226" priority="496">
      <formula>$C14&lt;$E$3</formula>
    </cfRule>
    <cfRule type="cellIs" dxfId="7225" priority="497" operator="equal">
      <formula>0</formula>
    </cfRule>
    <cfRule type="expression" dxfId="7224" priority="499">
      <formula>$C14&gt;$E$3</formula>
    </cfRule>
  </conditionalFormatting>
  <conditionalFormatting sqref="K14:K20">
    <cfRule type="expression" dxfId="7223" priority="494">
      <formula>$E14=""</formula>
    </cfRule>
  </conditionalFormatting>
  <conditionalFormatting sqref="K14:K20">
    <cfRule type="expression" dxfId="7222" priority="493">
      <formula>$E14=""</formula>
    </cfRule>
  </conditionalFormatting>
  <conditionalFormatting sqref="K14:K20">
    <cfRule type="expression" dxfId="7221" priority="492">
      <formula>$E14=""</formula>
    </cfRule>
  </conditionalFormatting>
  <conditionalFormatting sqref="K23:K29">
    <cfRule type="cellIs" dxfId="7220" priority="491" stopIfTrue="1" operator="lessThan">
      <formula>0</formula>
    </cfRule>
  </conditionalFormatting>
  <conditionalFormatting sqref="K23:K29">
    <cfRule type="expression" dxfId="7219" priority="489">
      <formula>$C23&lt;$E$3</formula>
    </cfRule>
  </conditionalFormatting>
  <conditionalFormatting sqref="K23:K29">
    <cfRule type="expression" dxfId="7218" priority="486">
      <formula>$C23=$E$3</formula>
    </cfRule>
    <cfRule type="expression" dxfId="7217" priority="487">
      <formula>$C23&lt;$E$3</formula>
    </cfRule>
    <cfRule type="cellIs" dxfId="7216" priority="488" operator="equal">
      <formula>0</formula>
    </cfRule>
    <cfRule type="expression" dxfId="7215" priority="490">
      <formula>$C23&gt;$E$3</formula>
    </cfRule>
  </conditionalFormatting>
  <conditionalFormatting sqref="K23:K29">
    <cfRule type="expression" dxfId="7214" priority="485">
      <formula>$E23=""</formula>
    </cfRule>
  </conditionalFormatting>
  <conditionalFormatting sqref="K23:K29">
    <cfRule type="expression" dxfId="7213" priority="484">
      <formula>$E23=""</formula>
    </cfRule>
  </conditionalFormatting>
  <conditionalFormatting sqref="K23:K29">
    <cfRule type="expression" dxfId="7212" priority="483">
      <formula>$E23=""</formula>
    </cfRule>
  </conditionalFormatting>
  <conditionalFormatting sqref="K28">
    <cfRule type="expression" dxfId="7211" priority="482">
      <formula>$C28&lt;$E$3</formula>
    </cfRule>
  </conditionalFormatting>
  <conditionalFormatting sqref="K28">
    <cfRule type="expression" dxfId="7210" priority="478">
      <formula>$C28=$E$3</formula>
    </cfRule>
    <cfRule type="expression" dxfId="7209" priority="479">
      <formula>$C28&lt;$E$3</formula>
    </cfRule>
    <cfRule type="cellIs" dxfId="7208" priority="480" operator="equal">
      <formula>0</formula>
    </cfRule>
    <cfRule type="expression" dxfId="7207" priority="481">
      <formula>$C28&gt;$E$3</formula>
    </cfRule>
  </conditionalFormatting>
  <conditionalFormatting sqref="K28">
    <cfRule type="expression" dxfId="7206" priority="477">
      <formula>$C28&lt;$E$3</formula>
    </cfRule>
  </conditionalFormatting>
  <conditionalFormatting sqref="K28">
    <cfRule type="expression" dxfId="7205" priority="473">
      <formula>$C28=$E$3</formula>
    </cfRule>
    <cfRule type="expression" dxfId="7204" priority="474">
      <formula>$C28&lt;$E$3</formula>
    </cfRule>
    <cfRule type="cellIs" dxfId="7203" priority="475" operator="equal">
      <formula>0</formula>
    </cfRule>
    <cfRule type="expression" dxfId="7202" priority="476">
      <formula>$C28&gt;$E$3</formula>
    </cfRule>
  </conditionalFormatting>
  <conditionalFormatting sqref="K28">
    <cfRule type="expression" dxfId="7201" priority="472">
      <formula>$C28&lt;$E$3</formula>
    </cfRule>
  </conditionalFormatting>
  <conditionalFormatting sqref="K28">
    <cfRule type="expression" dxfId="7200" priority="468">
      <formula>$C28=$E$3</formula>
    </cfRule>
    <cfRule type="expression" dxfId="7199" priority="469">
      <formula>$C28&lt;$E$3</formula>
    </cfRule>
    <cfRule type="cellIs" dxfId="7198" priority="470" operator="equal">
      <formula>0</formula>
    </cfRule>
    <cfRule type="expression" dxfId="7197" priority="471">
      <formula>$C28&gt;$E$3</formula>
    </cfRule>
  </conditionalFormatting>
  <conditionalFormatting sqref="K28">
    <cfRule type="expression" dxfId="7196" priority="467">
      <formula>$C28&lt;$E$3</formula>
    </cfRule>
  </conditionalFormatting>
  <conditionalFormatting sqref="K28">
    <cfRule type="expression" dxfId="7195" priority="463">
      <formula>$C28=$E$3</formula>
    </cfRule>
    <cfRule type="expression" dxfId="7194" priority="464">
      <formula>$C28&lt;$E$3</formula>
    </cfRule>
    <cfRule type="cellIs" dxfId="7193" priority="465" operator="equal">
      <formula>0</formula>
    </cfRule>
    <cfRule type="expression" dxfId="7192" priority="466">
      <formula>$C28&gt;$E$3</formula>
    </cfRule>
  </conditionalFormatting>
  <conditionalFormatting sqref="K28">
    <cfRule type="expression" dxfId="7191" priority="462">
      <formula>$E28=""</formula>
    </cfRule>
  </conditionalFormatting>
  <conditionalFormatting sqref="K28">
    <cfRule type="expression" dxfId="7190" priority="461">
      <formula>$C28&lt;$E$3</formula>
    </cfRule>
  </conditionalFormatting>
  <conditionalFormatting sqref="K28">
    <cfRule type="expression" dxfId="7189" priority="460">
      <formula>$E28=""</formula>
    </cfRule>
  </conditionalFormatting>
  <conditionalFormatting sqref="K28">
    <cfRule type="expression" dxfId="7188" priority="459">
      <formula>$E28=""</formula>
    </cfRule>
  </conditionalFormatting>
  <conditionalFormatting sqref="K28">
    <cfRule type="expression" dxfId="7187" priority="458">
      <formula>$C28&lt;$E$3</formula>
    </cfRule>
  </conditionalFormatting>
  <conditionalFormatting sqref="K28">
    <cfRule type="expression" dxfId="7186" priority="457">
      <formula>$E28=""</formula>
    </cfRule>
  </conditionalFormatting>
  <conditionalFormatting sqref="K28">
    <cfRule type="expression" dxfId="7185" priority="456">
      <formula>$C28&lt;$E$3</formula>
    </cfRule>
  </conditionalFormatting>
  <conditionalFormatting sqref="K28">
    <cfRule type="expression" dxfId="7184" priority="455">
      <formula>$E28=""</formula>
    </cfRule>
  </conditionalFormatting>
  <conditionalFormatting sqref="K28">
    <cfRule type="expression" dxfId="7183" priority="454">
      <formula>$C28&lt;$E$3</formula>
    </cfRule>
  </conditionalFormatting>
  <conditionalFormatting sqref="K28">
    <cfRule type="expression" dxfId="7182" priority="453">
      <formula>$E28=""</formula>
    </cfRule>
  </conditionalFormatting>
  <conditionalFormatting sqref="K28">
    <cfRule type="expression" dxfId="7181" priority="452">
      <formula>$C28&lt;$E$3</formula>
    </cfRule>
  </conditionalFormatting>
  <conditionalFormatting sqref="K28">
    <cfRule type="expression" dxfId="7180" priority="448">
      <formula>$C28=$E$3</formula>
    </cfRule>
    <cfRule type="expression" dxfId="7179" priority="449">
      <formula>$C28&lt;$E$3</formula>
    </cfRule>
    <cfRule type="cellIs" dxfId="7178" priority="450" operator="equal">
      <formula>0</formula>
    </cfRule>
    <cfRule type="expression" dxfId="7177" priority="451">
      <formula>$C28&gt;$E$3</formula>
    </cfRule>
  </conditionalFormatting>
  <conditionalFormatting sqref="K28">
    <cfRule type="expression" dxfId="7176" priority="447">
      <formula>$C28&lt;$E$3</formula>
    </cfRule>
  </conditionalFormatting>
  <conditionalFormatting sqref="K28">
    <cfRule type="expression" dxfId="7175" priority="443">
      <formula>$C28=$E$3</formula>
    </cfRule>
    <cfRule type="expression" dxfId="7174" priority="444">
      <formula>$C28&lt;$E$3</formula>
    </cfRule>
    <cfRule type="cellIs" dxfId="7173" priority="445" operator="equal">
      <formula>0</formula>
    </cfRule>
    <cfRule type="expression" dxfId="7172" priority="446">
      <formula>$C28&gt;$E$3</formula>
    </cfRule>
  </conditionalFormatting>
  <conditionalFormatting sqref="K28">
    <cfRule type="expression" dxfId="7171" priority="442">
      <formula>$C28&lt;$E$3</formula>
    </cfRule>
  </conditionalFormatting>
  <conditionalFormatting sqref="K28">
    <cfRule type="expression" dxfId="7170" priority="438">
      <formula>$C28=$E$3</formula>
    </cfRule>
    <cfRule type="expression" dxfId="7169" priority="439">
      <formula>$C28&lt;$E$3</formula>
    </cfRule>
    <cfRule type="cellIs" dxfId="7168" priority="440" operator="equal">
      <formula>0</formula>
    </cfRule>
    <cfRule type="expression" dxfId="7167" priority="441">
      <formula>$C28&gt;$E$3</formula>
    </cfRule>
  </conditionalFormatting>
  <conditionalFormatting sqref="K28">
    <cfRule type="expression" dxfId="7166" priority="437">
      <formula>$C28&lt;$E$3</formula>
    </cfRule>
  </conditionalFormatting>
  <conditionalFormatting sqref="K28">
    <cfRule type="expression" dxfId="7165" priority="433">
      <formula>$C28=$E$3</formula>
    </cfRule>
    <cfRule type="expression" dxfId="7164" priority="434">
      <formula>$C28&lt;$E$3</formula>
    </cfRule>
    <cfRule type="cellIs" dxfId="7163" priority="435" operator="equal">
      <formula>0</formula>
    </cfRule>
    <cfRule type="expression" dxfId="7162" priority="436">
      <formula>$C28&gt;$E$3</formula>
    </cfRule>
  </conditionalFormatting>
  <conditionalFormatting sqref="K28">
    <cfRule type="expression" dxfId="7161" priority="432">
      <formula>$E28=""</formula>
    </cfRule>
  </conditionalFormatting>
  <conditionalFormatting sqref="K28">
    <cfRule type="expression" dxfId="7160" priority="431">
      <formula>$C28&lt;$E$3</formula>
    </cfRule>
  </conditionalFormatting>
  <conditionalFormatting sqref="K28">
    <cfRule type="expression" dxfId="7159" priority="430">
      <formula>$E28=""</formula>
    </cfRule>
  </conditionalFormatting>
  <conditionalFormatting sqref="K28">
    <cfRule type="expression" dxfId="7158" priority="429">
      <formula>$E28=""</formula>
    </cfRule>
  </conditionalFormatting>
  <conditionalFormatting sqref="K28">
    <cfRule type="expression" dxfId="7157" priority="428">
      <formula>$C28&lt;$E$3</formula>
    </cfRule>
  </conditionalFormatting>
  <conditionalFormatting sqref="K28">
    <cfRule type="expression" dxfId="7156" priority="427">
      <formula>$E28=""</formula>
    </cfRule>
  </conditionalFormatting>
  <conditionalFormatting sqref="K28">
    <cfRule type="expression" dxfId="7155" priority="426">
      <formula>$C28&lt;$E$3</formula>
    </cfRule>
  </conditionalFormatting>
  <conditionalFormatting sqref="K28">
    <cfRule type="expression" dxfId="7154" priority="425">
      <formula>$E28=""</formula>
    </cfRule>
  </conditionalFormatting>
  <conditionalFormatting sqref="K28">
    <cfRule type="expression" dxfId="7153" priority="424">
      <formula>$C28&lt;$E$3</formula>
    </cfRule>
  </conditionalFormatting>
  <conditionalFormatting sqref="K28">
    <cfRule type="expression" dxfId="7152" priority="423">
      <formula>$E28=""</formula>
    </cfRule>
  </conditionalFormatting>
  <conditionalFormatting sqref="K23:K27">
    <cfRule type="expression" dxfId="7151" priority="422">
      <formula>$C23&lt;$E$3</formula>
    </cfRule>
  </conditionalFormatting>
  <conditionalFormatting sqref="K23:K27">
    <cfRule type="expression" dxfId="7150" priority="418">
      <formula>$C23=$E$3</formula>
    </cfRule>
    <cfRule type="expression" dxfId="7149" priority="419">
      <formula>$C23&lt;$E$3</formula>
    </cfRule>
    <cfRule type="cellIs" dxfId="7148" priority="420" operator="equal">
      <formula>0</formula>
    </cfRule>
    <cfRule type="expression" dxfId="7147" priority="421">
      <formula>$C23&gt;$E$3</formula>
    </cfRule>
  </conditionalFormatting>
  <conditionalFormatting sqref="K23:K27">
    <cfRule type="expression" dxfId="7146" priority="417">
      <formula>$C23&lt;$E$3</formula>
    </cfRule>
  </conditionalFormatting>
  <conditionalFormatting sqref="K23:K27">
    <cfRule type="expression" dxfId="7145" priority="413">
      <formula>$C23=$E$3</formula>
    </cfRule>
    <cfRule type="expression" dxfId="7144" priority="414">
      <formula>$C23&lt;$E$3</formula>
    </cfRule>
    <cfRule type="cellIs" dxfId="7143" priority="415" operator="equal">
      <formula>0</formula>
    </cfRule>
    <cfRule type="expression" dxfId="7142" priority="416">
      <formula>$C23&gt;$E$3</formula>
    </cfRule>
  </conditionalFormatting>
  <conditionalFormatting sqref="K23:K27">
    <cfRule type="expression" dxfId="7141" priority="412">
      <formula>$C23&lt;$E$3</formula>
    </cfRule>
  </conditionalFormatting>
  <conditionalFormatting sqref="K23:K27">
    <cfRule type="expression" dxfId="7140" priority="408">
      <formula>$C23=$E$3</formula>
    </cfRule>
    <cfRule type="expression" dxfId="7139" priority="409">
      <formula>$C23&lt;$E$3</formula>
    </cfRule>
    <cfRule type="cellIs" dxfId="7138" priority="410" operator="equal">
      <formula>0</formula>
    </cfRule>
    <cfRule type="expression" dxfId="7137" priority="411">
      <formula>$C23&gt;$E$3</formula>
    </cfRule>
  </conditionalFormatting>
  <conditionalFormatting sqref="K23:K27">
    <cfRule type="expression" dxfId="7136" priority="407">
      <formula>$C23&lt;$E$3</formula>
    </cfRule>
  </conditionalFormatting>
  <conditionalFormatting sqref="K23:K27">
    <cfRule type="expression" dxfId="7135" priority="403">
      <formula>$C23=$E$3</formula>
    </cfRule>
    <cfRule type="expression" dxfId="7134" priority="404">
      <formula>$C23&lt;$E$3</formula>
    </cfRule>
    <cfRule type="cellIs" dxfId="7133" priority="405" operator="equal">
      <formula>0</formula>
    </cfRule>
    <cfRule type="expression" dxfId="7132" priority="406">
      <formula>$C23&gt;$E$3</formula>
    </cfRule>
  </conditionalFormatting>
  <conditionalFormatting sqref="K23:K27">
    <cfRule type="expression" dxfId="7131" priority="402">
      <formula>$E23=""</formula>
    </cfRule>
  </conditionalFormatting>
  <conditionalFormatting sqref="K23:K27">
    <cfRule type="expression" dxfId="7130" priority="401">
      <formula>$C23&lt;$E$3</formula>
    </cfRule>
  </conditionalFormatting>
  <conditionalFormatting sqref="K23:K27">
    <cfRule type="expression" dxfId="7129" priority="400">
      <formula>$E23=""</formula>
    </cfRule>
  </conditionalFormatting>
  <conditionalFormatting sqref="K23:K27">
    <cfRule type="expression" dxfId="7128" priority="399">
      <formula>$E23=""</formula>
    </cfRule>
  </conditionalFormatting>
  <conditionalFormatting sqref="K23:K27">
    <cfRule type="expression" dxfId="7127" priority="398">
      <formula>$C23&lt;$E$3</formula>
    </cfRule>
  </conditionalFormatting>
  <conditionalFormatting sqref="K23:K27">
    <cfRule type="expression" dxfId="7126" priority="397">
      <formula>$E23=""</formula>
    </cfRule>
  </conditionalFormatting>
  <conditionalFormatting sqref="K23:K27">
    <cfRule type="expression" dxfId="7125" priority="396">
      <formula>$C23&lt;$E$3</formula>
    </cfRule>
  </conditionalFormatting>
  <conditionalFormatting sqref="K23:K27">
    <cfRule type="expression" dxfId="7124" priority="395">
      <formula>$E23=""</formula>
    </cfRule>
  </conditionalFormatting>
  <conditionalFormatting sqref="K23:K27">
    <cfRule type="expression" dxfId="7123" priority="394">
      <formula>$C23&lt;$E$3</formula>
    </cfRule>
  </conditionalFormatting>
  <conditionalFormatting sqref="K23:K27">
    <cfRule type="expression" dxfId="7122" priority="393">
      <formula>$E23=""</formula>
    </cfRule>
  </conditionalFormatting>
  <conditionalFormatting sqref="K23:K27">
    <cfRule type="expression" dxfId="7121" priority="392">
      <formula>$C23&lt;$E$3</formula>
    </cfRule>
  </conditionalFormatting>
  <conditionalFormatting sqref="K23:K27">
    <cfRule type="expression" dxfId="7120" priority="388">
      <formula>$C23=$E$3</formula>
    </cfRule>
    <cfRule type="expression" dxfId="7119" priority="389">
      <formula>$C23&lt;$E$3</formula>
    </cfRule>
    <cfRule type="cellIs" dxfId="7118" priority="390" operator="equal">
      <formula>0</formula>
    </cfRule>
    <cfRule type="expression" dxfId="7117" priority="391">
      <formula>$C23&gt;$E$3</formula>
    </cfRule>
  </conditionalFormatting>
  <conditionalFormatting sqref="K23:K27">
    <cfRule type="expression" dxfId="7116" priority="387">
      <formula>$C23&lt;$E$3</formula>
    </cfRule>
  </conditionalFormatting>
  <conditionalFormatting sqref="K23:K27">
    <cfRule type="expression" dxfId="7115" priority="383">
      <formula>$C23=$E$3</formula>
    </cfRule>
    <cfRule type="expression" dxfId="7114" priority="384">
      <formula>$C23&lt;$E$3</formula>
    </cfRule>
    <cfRule type="cellIs" dxfId="7113" priority="385" operator="equal">
      <formula>0</formula>
    </cfRule>
    <cfRule type="expression" dxfId="7112" priority="386">
      <formula>$C23&gt;$E$3</formula>
    </cfRule>
  </conditionalFormatting>
  <conditionalFormatting sqref="K23:K27">
    <cfRule type="expression" dxfId="7111" priority="382">
      <formula>$C23&lt;$E$3</formula>
    </cfRule>
  </conditionalFormatting>
  <conditionalFormatting sqref="K23:K27">
    <cfRule type="expression" dxfId="7110" priority="378">
      <formula>$C23=$E$3</formula>
    </cfRule>
    <cfRule type="expression" dxfId="7109" priority="379">
      <formula>$C23&lt;$E$3</formula>
    </cfRule>
    <cfRule type="cellIs" dxfId="7108" priority="380" operator="equal">
      <formula>0</formula>
    </cfRule>
    <cfRule type="expression" dxfId="7107" priority="381">
      <formula>$C23&gt;$E$3</formula>
    </cfRule>
  </conditionalFormatting>
  <conditionalFormatting sqref="K23:K27">
    <cfRule type="expression" dxfId="7106" priority="377">
      <formula>$C23&lt;$E$3</formula>
    </cfRule>
  </conditionalFormatting>
  <conditionalFormatting sqref="K23:K27">
    <cfRule type="expression" dxfId="7105" priority="373">
      <formula>$C23=$E$3</formula>
    </cfRule>
    <cfRule type="expression" dxfId="7104" priority="374">
      <formula>$C23&lt;$E$3</formula>
    </cfRule>
    <cfRule type="cellIs" dxfId="7103" priority="375" operator="equal">
      <formula>0</formula>
    </cfRule>
    <cfRule type="expression" dxfId="7102" priority="376">
      <formula>$C23&gt;$E$3</formula>
    </cfRule>
  </conditionalFormatting>
  <conditionalFormatting sqref="K23:K27">
    <cfRule type="expression" dxfId="7101" priority="372">
      <formula>$E23=""</formula>
    </cfRule>
  </conditionalFormatting>
  <conditionalFormatting sqref="K23:K27">
    <cfRule type="expression" dxfId="7100" priority="371">
      <formula>$C23&lt;$E$3</formula>
    </cfRule>
  </conditionalFormatting>
  <conditionalFormatting sqref="K23:K27">
    <cfRule type="expression" dxfId="7099" priority="370">
      <formula>$E23=""</formula>
    </cfRule>
  </conditionalFormatting>
  <conditionalFormatting sqref="K23:K27">
    <cfRule type="expression" dxfId="7098" priority="369">
      <formula>$E23=""</formula>
    </cfRule>
  </conditionalFormatting>
  <conditionalFormatting sqref="K23:K27">
    <cfRule type="expression" dxfId="7097" priority="368">
      <formula>$C23&lt;$E$3</formula>
    </cfRule>
  </conditionalFormatting>
  <conditionalFormatting sqref="K23:K27">
    <cfRule type="expression" dxfId="7096" priority="367">
      <formula>$E23=""</formula>
    </cfRule>
  </conditionalFormatting>
  <conditionalFormatting sqref="K23:K27">
    <cfRule type="expression" dxfId="7095" priority="366">
      <formula>$C23&lt;$E$3</formula>
    </cfRule>
  </conditionalFormatting>
  <conditionalFormatting sqref="K23:K27">
    <cfRule type="expression" dxfId="7094" priority="365">
      <formula>$E23=""</formula>
    </cfRule>
  </conditionalFormatting>
  <conditionalFormatting sqref="K23:K27">
    <cfRule type="expression" dxfId="7093" priority="364">
      <formula>$C23&lt;$E$3</formula>
    </cfRule>
  </conditionalFormatting>
  <conditionalFormatting sqref="K23:K27">
    <cfRule type="expression" dxfId="7092" priority="363">
      <formula>$E23=""</formula>
    </cfRule>
  </conditionalFormatting>
  <conditionalFormatting sqref="K23:K29">
    <cfRule type="expression" dxfId="7091" priority="361">
      <formula>$C23&lt;$E$3</formula>
    </cfRule>
  </conditionalFormatting>
  <conditionalFormatting sqref="K23:K29">
    <cfRule type="expression" dxfId="7090" priority="358">
      <formula>$C23=$E$3</formula>
    </cfRule>
    <cfRule type="expression" dxfId="7089" priority="359">
      <formula>$C23&lt;$E$3</formula>
    </cfRule>
    <cfRule type="cellIs" dxfId="7088" priority="360" operator="equal">
      <formula>0</formula>
    </cfRule>
    <cfRule type="expression" dxfId="7087" priority="362">
      <formula>$C23&gt;$E$3</formula>
    </cfRule>
  </conditionalFormatting>
  <conditionalFormatting sqref="K23:K29">
    <cfRule type="expression" dxfId="7086" priority="357">
      <formula>$E23=""</formula>
    </cfRule>
  </conditionalFormatting>
  <conditionalFormatting sqref="K23:K29">
    <cfRule type="expression" dxfId="7085" priority="356">
      <formula>$E23=""</formula>
    </cfRule>
  </conditionalFormatting>
  <conditionalFormatting sqref="K23:K29">
    <cfRule type="expression" dxfId="7084" priority="355">
      <formula>$E23=""</formula>
    </cfRule>
  </conditionalFormatting>
  <conditionalFormatting sqref="K32:K38">
    <cfRule type="cellIs" dxfId="7083" priority="354" stopIfTrue="1" operator="lessThan">
      <formula>0</formula>
    </cfRule>
  </conditionalFormatting>
  <conditionalFormatting sqref="K32:K38">
    <cfRule type="expression" dxfId="7082" priority="352">
      <formula>$C32&lt;$E$3</formula>
    </cfRule>
  </conditionalFormatting>
  <conditionalFormatting sqref="K32:K38">
    <cfRule type="expression" dxfId="7081" priority="349">
      <formula>$C32=$E$3</formula>
    </cfRule>
    <cfRule type="expression" dxfId="7080" priority="350">
      <formula>$C32&lt;$E$3</formula>
    </cfRule>
    <cfRule type="cellIs" dxfId="7079" priority="351" operator="equal">
      <formula>0</formula>
    </cfRule>
    <cfRule type="expression" dxfId="7078" priority="353">
      <formula>$C32&gt;$E$3</formula>
    </cfRule>
  </conditionalFormatting>
  <conditionalFormatting sqref="K32:K38">
    <cfRule type="expression" dxfId="7077" priority="348">
      <formula>$E32=""</formula>
    </cfRule>
  </conditionalFormatting>
  <conditionalFormatting sqref="K32:K38">
    <cfRule type="expression" dxfId="7076" priority="347">
      <formula>$E32=""</formula>
    </cfRule>
  </conditionalFormatting>
  <conditionalFormatting sqref="K32:K38">
    <cfRule type="expression" dxfId="7075" priority="346">
      <formula>$E32=""</formula>
    </cfRule>
  </conditionalFormatting>
  <conditionalFormatting sqref="K37">
    <cfRule type="expression" dxfId="7074" priority="345">
      <formula>$C37&lt;$E$3</formula>
    </cfRule>
  </conditionalFormatting>
  <conditionalFormatting sqref="K37">
    <cfRule type="expression" dxfId="7073" priority="341">
      <formula>$C37=$E$3</formula>
    </cfRule>
    <cfRule type="expression" dxfId="7072" priority="342">
      <formula>$C37&lt;$E$3</formula>
    </cfRule>
    <cfRule type="cellIs" dxfId="7071" priority="343" operator="equal">
      <formula>0</formula>
    </cfRule>
    <cfRule type="expression" dxfId="7070" priority="344">
      <formula>$C37&gt;$E$3</formula>
    </cfRule>
  </conditionalFormatting>
  <conditionalFormatting sqref="K37">
    <cfRule type="expression" dxfId="7069" priority="340">
      <formula>$C37&lt;$E$3</formula>
    </cfRule>
  </conditionalFormatting>
  <conditionalFormatting sqref="K37">
    <cfRule type="expression" dxfId="7068" priority="336">
      <formula>$C37=$E$3</formula>
    </cfRule>
    <cfRule type="expression" dxfId="7067" priority="337">
      <formula>$C37&lt;$E$3</formula>
    </cfRule>
    <cfRule type="cellIs" dxfId="7066" priority="338" operator="equal">
      <formula>0</formula>
    </cfRule>
    <cfRule type="expression" dxfId="7065" priority="339">
      <formula>$C37&gt;$E$3</formula>
    </cfRule>
  </conditionalFormatting>
  <conditionalFormatting sqref="K37">
    <cfRule type="expression" dxfId="7064" priority="325">
      <formula>$E37=""</formula>
    </cfRule>
  </conditionalFormatting>
  <conditionalFormatting sqref="K37">
    <cfRule type="expression" dxfId="7063" priority="324">
      <formula>$C37&lt;$E$3</formula>
    </cfRule>
  </conditionalFormatting>
  <conditionalFormatting sqref="K37">
    <cfRule type="expression" dxfId="7062" priority="323">
      <formula>$E37=""</formula>
    </cfRule>
  </conditionalFormatting>
  <conditionalFormatting sqref="K37">
    <cfRule type="expression" dxfId="7061" priority="322">
      <formula>$E37=""</formula>
    </cfRule>
  </conditionalFormatting>
  <conditionalFormatting sqref="K37">
    <cfRule type="expression" dxfId="7060" priority="321">
      <formula>$C37&lt;$E$3</formula>
    </cfRule>
  </conditionalFormatting>
  <conditionalFormatting sqref="K37">
    <cfRule type="expression" dxfId="7059" priority="320">
      <formula>$E37=""</formula>
    </cfRule>
  </conditionalFormatting>
  <conditionalFormatting sqref="K37">
    <cfRule type="expression" dxfId="7058" priority="319">
      <formula>$C37&lt;$E$3</formula>
    </cfRule>
  </conditionalFormatting>
  <conditionalFormatting sqref="K37">
    <cfRule type="expression" dxfId="7057" priority="318">
      <formula>$E37=""</formula>
    </cfRule>
  </conditionalFormatting>
  <conditionalFormatting sqref="K37">
    <cfRule type="expression" dxfId="7056" priority="317">
      <formula>$C37&lt;$E$3</formula>
    </cfRule>
  </conditionalFormatting>
  <conditionalFormatting sqref="K37">
    <cfRule type="expression" dxfId="7055" priority="316">
      <formula>$E37=""</formula>
    </cfRule>
  </conditionalFormatting>
  <conditionalFormatting sqref="K37">
    <cfRule type="expression" dxfId="7054" priority="315">
      <formula>$C37&lt;$E$3</formula>
    </cfRule>
  </conditionalFormatting>
  <conditionalFormatting sqref="K37">
    <cfRule type="expression" dxfId="7053" priority="311">
      <formula>$C37=$E$3</formula>
    </cfRule>
    <cfRule type="expression" dxfId="7052" priority="312">
      <formula>$C37&lt;$E$3</formula>
    </cfRule>
    <cfRule type="cellIs" dxfId="7051" priority="313" operator="equal">
      <formula>0</formula>
    </cfRule>
    <cfRule type="expression" dxfId="7050" priority="314">
      <formula>$C37&gt;$E$3</formula>
    </cfRule>
  </conditionalFormatting>
  <conditionalFormatting sqref="K37">
    <cfRule type="expression" dxfId="7049" priority="310">
      <formula>$C37&lt;$E$3</formula>
    </cfRule>
  </conditionalFormatting>
  <conditionalFormatting sqref="K37">
    <cfRule type="expression" dxfId="7048" priority="306">
      <formula>$C37=$E$3</formula>
    </cfRule>
    <cfRule type="expression" dxfId="7047" priority="307">
      <formula>$C37&lt;$E$3</formula>
    </cfRule>
    <cfRule type="cellIs" dxfId="7046" priority="308" operator="equal">
      <formula>0</formula>
    </cfRule>
    <cfRule type="expression" dxfId="7045" priority="309">
      <formula>$C37&gt;$E$3</formula>
    </cfRule>
  </conditionalFormatting>
  <conditionalFormatting sqref="K37">
    <cfRule type="expression" dxfId="7044" priority="295">
      <formula>$E37=""</formula>
    </cfRule>
  </conditionalFormatting>
  <conditionalFormatting sqref="K37">
    <cfRule type="expression" dxfId="7043" priority="294">
      <formula>$C37&lt;$E$3</formula>
    </cfRule>
  </conditionalFormatting>
  <conditionalFormatting sqref="K37">
    <cfRule type="expression" dxfId="7042" priority="293">
      <formula>$E37=""</formula>
    </cfRule>
  </conditionalFormatting>
  <conditionalFormatting sqref="K37">
    <cfRule type="expression" dxfId="7041" priority="292">
      <formula>$E37=""</formula>
    </cfRule>
  </conditionalFormatting>
  <conditionalFormatting sqref="K37">
    <cfRule type="expression" dxfId="7040" priority="291">
      <formula>$C37&lt;$E$3</formula>
    </cfRule>
  </conditionalFormatting>
  <conditionalFormatting sqref="K37">
    <cfRule type="expression" dxfId="7039" priority="290">
      <formula>$E37=""</formula>
    </cfRule>
  </conditionalFormatting>
  <conditionalFormatting sqref="K37">
    <cfRule type="expression" dxfId="7038" priority="289">
      <formula>$C37&lt;$E$3</formula>
    </cfRule>
  </conditionalFormatting>
  <conditionalFormatting sqref="K37">
    <cfRule type="expression" dxfId="7037" priority="288">
      <formula>$E37=""</formula>
    </cfRule>
  </conditionalFormatting>
  <conditionalFormatting sqref="K37">
    <cfRule type="expression" dxfId="7036" priority="287">
      <formula>$C37&lt;$E$3</formula>
    </cfRule>
  </conditionalFormatting>
  <conditionalFormatting sqref="K37">
    <cfRule type="expression" dxfId="7035" priority="286">
      <formula>$E37=""</formula>
    </cfRule>
  </conditionalFormatting>
  <conditionalFormatting sqref="K32:K36">
    <cfRule type="expression" dxfId="7034" priority="285">
      <formula>$C32&lt;$E$3</formula>
    </cfRule>
  </conditionalFormatting>
  <conditionalFormatting sqref="K32:K36">
    <cfRule type="expression" dxfId="7033" priority="281">
      <formula>$C32=$E$3</formula>
    </cfRule>
    <cfRule type="expression" dxfId="7032" priority="282">
      <formula>$C32&lt;$E$3</formula>
    </cfRule>
    <cfRule type="cellIs" dxfId="7031" priority="283" operator="equal">
      <formula>0</formula>
    </cfRule>
    <cfRule type="expression" dxfId="7030" priority="284">
      <formula>$C32&gt;$E$3</formula>
    </cfRule>
  </conditionalFormatting>
  <conditionalFormatting sqref="K32:K36">
    <cfRule type="expression" dxfId="7029" priority="280">
      <formula>$C32&lt;$E$3</formula>
    </cfRule>
  </conditionalFormatting>
  <conditionalFormatting sqref="K32:K36">
    <cfRule type="expression" dxfId="7028" priority="276">
      <formula>$C32=$E$3</formula>
    </cfRule>
    <cfRule type="expression" dxfId="7027" priority="277">
      <formula>$C32&lt;$E$3</formula>
    </cfRule>
    <cfRule type="cellIs" dxfId="7026" priority="278" operator="equal">
      <formula>0</formula>
    </cfRule>
    <cfRule type="expression" dxfId="7025" priority="279">
      <formula>$C32&gt;$E$3</formula>
    </cfRule>
  </conditionalFormatting>
  <conditionalFormatting sqref="K32:K36">
    <cfRule type="expression" dxfId="7024" priority="265">
      <formula>$E32=""</formula>
    </cfRule>
  </conditionalFormatting>
  <conditionalFormatting sqref="K32:K36">
    <cfRule type="expression" dxfId="7023" priority="264">
      <formula>$C32&lt;$E$3</formula>
    </cfRule>
  </conditionalFormatting>
  <conditionalFormatting sqref="K32:K36">
    <cfRule type="expression" dxfId="7022" priority="263">
      <formula>$E32=""</formula>
    </cfRule>
  </conditionalFormatting>
  <conditionalFormatting sqref="K32:K36">
    <cfRule type="expression" dxfId="7021" priority="262">
      <formula>$E32=""</formula>
    </cfRule>
  </conditionalFormatting>
  <conditionalFormatting sqref="K32:K36">
    <cfRule type="expression" dxfId="7020" priority="261">
      <formula>$C32&lt;$E$3</formula>
    </cfRule>
  </conditionalFormatting>
  <conditionalFormatting sqref="K32:K36">
    <cfRule type="expression" dxfId="7019" priority="260">
      <formula>$E32=""</formula>
    </cfRule>
  </conditionalFormatting>
  <conditionalFormatting sqref="K32:K36">
    <cfRule type="expression" dxfId="7018" priority="259">
      <formula>$C32&lt;$E$3</formula>
    </cfRule>
  </conditionalFormatting>
  <conditionalFormatting sqref="K32:K36">
    <cfRule type="expression" dxfId="7017" priority="258">
      <formula>$E32=""</formula>
    </cfRule>
  </conditionalFormatting>
  <conditionalFormatting sqref="K32:K36">
    <cfRule type="expression" dxfId="7016" priority="257">
      <formula>$C32&lt;$E$3</formula>
    </cfRule>
  </conditionalFormatting>
  <conditionalFormatting sqref="K32:K36">
    <cfRule type="expression" dxfId="7015" priority="256">
      <formula>$E32=""</formula>
    </cfRule>
  </conditionalFormatting>
  <conditionalFormatting sqref="K32:K36">
    <cfRule type="expression" dxfId="7014" priority="255">
      <formula>$C32&lt;$E$3</formula>
    </cfRule>
  </conditionalFormatting>
  <conditionalFormatting sqref="K32:K36">
    <cfRule type="expression" dxfId="7013" priority="251">
      <formula>$C32=$E$3</formula>
    </cfRule>
    <cfRule type="expression" dxfId="7012" priority="252">
      <formula>$C32&lt;$E$3</formula>
    </cfRule>
    <cfRule type="cellIs" dxfId="7011" priority="253" operator="equal">
      <formula>0</formula>
    </cfRule>
    <cfRule type="expression" dxfId="7010" priority="254">
      <formula>$C32&gt;$E$3</formula>
    </cfRule>
  </conditionalFormatting>
  <conditionalFormatting sqref="K32:K36">
    <cfRule type="expression" dxfId="7009" priority="250">
      <formula>$C32&lt;$E$3</formula>
    </cfRule>
  </conditionalFormatting>
  <conditionalFormatting sqref="K32:K36">
    <cfRule type="expression" dxfId="7008" priority="246">
      <formula>$C32=$E$3</formula>
    </cfRule>
    <cfRule type="expression" dxfId="7007" priority="247">
      <formula>$C32&lt;$E$3</formula>
    </cfRule>
    <cfRule type="cellIs" dxfId="7006" priority="248" operator="equal">
      <formula>0</formula>
    </cfRule>
    <cfRule type="expression" dxfId="7005" priority="249">
      <formula>$C32&gt;$E$3</formula>
    </cfRule>
  </conditionalFormatting>
  <conditionalFormatting sqref="K32:K36">
    <cfRule type="expression" dxfId="7004" priority="245">
      <formula>$C32&lt;$E$3</formula>
    </cfRule>
  </conditionalFormatting>
  <conditionalFormatting sqref="K32:K36">
    <cfRule type="expression" dxfId="7003" priority="241">
      <formula>$C32=$E$3</formula>
    </cfRule>
    <cfRule type="expression" dxfId="7002" priority="242">
      <formula>$C32&lt;$E$3</formula>
    </cfRule>
    <cfRule type="cellIs" dxfId="7001" priority="243" operator="equal">
      <formula>0</formula>
    </cfRule>
    <cfRule type="expression" dxfId="7000" priority="244">
      <formula>$C32&gt;$E$3</formula>
    </cfRule>
  </conditionalFormatting>
  <conditionalFormatting sqref="K32:K36">
    <cfRule type="expression" dxfId="6999" priority="240">
      <formula>$C32&lt;$E$3</formula>
    </cfRule>
  </conditionalFormatting>
  <conditionalFormatting sqref="K32:K36">
    <cfRule type="expression" dxfId="6998" priority="236">
      <formula>$C32=$E$3</formula>
    </cfRule>
    <cfRule type="expression" dxfId="6997" priority="237">
      <formula>$C32&lt;$E$3</formula>
    </cfRule>
    <cfRule type="cellIs" dxfId="6996" priority="238" operator="equal">
      <formula>0</formula>
    </cfRule>
    <cfRule type="expression" dxfId="6995" priority="239">
      <formula>$C32&gt;$E$3</formula>
    </cfRule>
  </conditionalFormatting>
  <conditionalFormatting sqref="K32:K36">
    <cfRule type="expression" dxfId="6994" priority="235">
      <formula>$E32=""</formula>
    </cfRule>
  </conditionalFormatting>
  <conditionalFormatting sqref="K32:K36">
    <cfRule type="expression" dxfId="6993" priority="234">
      <formula>$C32&lt;$E$3</formula>
    </cfRule>
  </conditionalFormatting>
  <conditionalFormatting sqref="K32:K36">
    <cfRule type="expression" dxfId="6992" priority="233">
      <formula>$E32=""</formula>
    </cfRule>
  </conditionalFormatting>
  <conditionalFormatting sqref="K32:K36">
    <cfRule type="expression" dxfId="6991" priority="232">
      <formula>$E32=""</formula>
    </cfRule>
  </conditionalFormatting>
  <conditionalFormatting sqref="K32:K36">
    <cfRule type="expression" dxfId="6990" priority="231">
      <formula>$C32&lt;$E$3</formula>
    </cfRule>
  </conditionalFormatting>
  <conditionalFormatting sqref="K32:K36">
    <cfRule type="expression" dxfId="6989" priority="230">
      <formula>$E32=""</formula>
    </cfRule>
  </conditionalFormatting>
  <conditionalFormatting sqref="K32:K36">
    <cfRule type="expression" dxfId="6988" priority="229">
      <formula>$C32&lt;$E$3</formula>
    </cfRule>
  </conditionalFormatting>
  <conditionalFormatting sqref="K32:K36">
    <cfRule type="expression" dxfId="6987" priority="228">
      <formula>$E32=""</formula>
    </cfRule>
  </conditionalFormatting>
  <conditionalFormatting sqref="K32:K36">
    <cfRule type="expression" dxfId="6986" priority="227">
      <formula>$C32&lt;$E$3</formula>
    </cfRule>
  </conditionalFormatting>
  <conditionalFormatting sqref="K32:K36">
    <cfRule type="expression" dxfId="6985" priority="226">
      <formula>$E32=""</formula>
    </cfRule>
  </conditionalFormatting>
  <conditionalFormatting sqref="K32:K38">
    <cfRule type="expression" dxfId="6984" priority="224">
      <formula>$C32&lt;$E$3</formula>
    </cfRule>
  </conditionalFormatting>
  <conditionalFormatting sqref="K32:K38">
    <cfRule type="expression" dxfId="6983" priority="221">
      <formula>$C32=$E$3</formula>
    </cfRule>
    <cfRule type="expression" dxfId="6982" priority="222">
      <formula>$C32&lt;$E$3</formula>
    </cfRule>
    <cfRule type="cellIs" dxfId="6981" priority="223" operator="equal">
      <formula>0</formula>
    </cfRule>
    <cfRule type="expression" dxfId="6980" priority="225">
      <formula>$C32&gt;$E$3</formula>
    </cfRule>
  </conditionalFormatting>
  <conditionalFormatting sqref="K32:K38">
    <cfRule type="expression" dxfId="6979" priority="220">
      <formula>$E32=""</formula>
    </cfRule>
  </conditionalFormatting>
  <conditionalFormatting sqref="K32:K38">
    <cfRule type="expression" dxfId="6978" priority="219">
      <formula>$E32=""</formula>
    </cfRule>
  </conditionalFormatting>
  <conditionalFormatting sqref="K32:K38">
    <cfRule type="expression" dxfId="6977" priority="218">
      <formula>$E32=""</formula>
    </cfRule>
  </conditionalFormatting>
  <conditionalFormatting sqref="K41:K47">
    <cfRule type="cellIs" dxfId="6976" priority="217" stopIfTrue="1" operator="lessThan">
      <formula>0</formula>
    </cfRule>
  </conditionalFormatting>
  <conditionalFormatting sqref="K41:K47">
    <cfRule type="expression" dxfId="6975" priority="215">
      <formula>$C41&lt;$E$3</formula>
    </cfRule>
  </conditionalFormatting>
  <conditionalFormatting sqref="K41:K47">
    <cfRule type="expression" dxfId="6974" priority="212">
      <formula>$C41=$E$3</formula>
    </cfRule>
    <cfRule type="expression" dxfId="6973" priority="213">
      <formula>$C41&lt;$E$3</formula>
    </cfRule>
    <cfRule type="cellIs" dxfId="6972" priority="214" operator="equal">
      <formula>0</formula>
    </cfRule>
    <cfRule type="expression" dxfId="6971" priority="216">
      <formula>$C41&gt;$E$3</formula>
    </cfRule>
  </conditionalFormatting>
  <conditionalFormatting sqref="K41:K47">
    <cfRule type="expression" dxfId="6970" priority="211">
      <formula>$E41=""</formula>
    </cfRule>
  </conditionalFormatting>
  <conditionalFormatting sqref="K41:K47">
    <cfRule type="expression" dxfId="6969" priority="210">
      <formula>$E41=""</formula>
    </cfRule>
  </conditionalFormatting>
  <conditionalFormatting sqref="K41:K47">
    <cfRule type="expression" dxfId="6968" priority="209">
      <formula>$E41=""</formula>
    </cfRule>
  </conditionalFormatting>
  <conditionalFormatting sqref="K46">
    <cfRule type="expression" dxfId="6967" priority="208">
      <formula>$C46&lt;$E$3</formula>
    </cfRule>
  </conditionalFormatting>
  <conditionalFormatting sqref="K46">
    <cfRule type="expression" dxfId="6966" priority="204">
      <formula>$C46=$E$3</formula>
    </cfRule>
    <cfRule type="expression" dxfId="6965" priority="205">
      <formula>$C46&lt;$E$3</formula>
    </cfRule>
    <cfRule type="cellIs" dxfId="6964" priority="206" operator="equal">
      <formula>0</formula>
    </cfRule>
    <cfRule type="expression" dxfId="6963" priority="207">
      <formula>$C46&gt;$E$3</formula>
    </cfRule>
  </conditionalFormatting>
  <conditionalFormatting sqref="K46">
    <cfRule type="expression" dxfId="6962" priority="203">
      <formula>$C46&lt;$E$3</formula>
    </cfRule>
  </conditionalFormatting>
  <conditionalFormatting sqref="K46">
    <cfRule type="expression" dxfId="6961" priority="199">
      <formula>$C46=$E$3</formula>
    </cfRule>
    <cfRule type="expression" dxfId="6960" priority="200">
      <formula>$C46&lt;$E$3</formula>
    </cfRule>
    <cfRule type="cellIs" dxfId="6959" priority="201" operator="equal">
      <formula>0</formula>
    </cfRule>
    <cfRule type="expression" dxfId="6958" priority="202">
      <formula>$C46&gt;$E$3</formula>
    </cfRule>
  </conditionalFormatting>
  <conditionalFormatting sqref="K46">
    <cfRule type="expression" dxfId="6957" priority="198">
      <formula>$C46&lt;$E$3</formula>
    </cfRule>
  </conditionalFormatting>
  <conditionalFormatting sqref="K46">
    <cfRule type="expression" dxfId="6956" priority="194">
      <formula>$C46=$E$3</formula>
    </cfRule>
    <cfRule type="expression" dxfId="6955" priority="195">
      <formula>$C46&lt;$E$3</formula>
    </cfRule>
    <cfRule type="cellIs" dxfId="6954" priority="196" operator="equal">
      <formula>0</formula>
    </cfRule>
    <cfRule type="expression" dxfId="6953" priority="197">
      <formula>$C46&gt;$E$3</formula>
    </cfRule>
  </conditionalFormatting>
  <conditionalFormatting sqref="K46">
    <cfRule type="expression" dxfId="6952" priority="193">
      <formula>$C46&lt;$E$3</formula>
    </cfRule>
  </conditionalFormatting>
  <conditionalFormatting sqref="K46">
    <cfRule type="expression" dxfId="6951" priority="189">
      <formula>$C46=$E$3</formula>
    </cfRule>
    <cfRule type="expression" dxfId="6950" priority="190">
      <formula>$C46&lt;$E$3</formula>
    </cfRule>
    <cfRule type="cellIs" dxfId="6949" priority="191" operator="equal">
      <formula>0</formula>
    </cfRule>
    <cfRule type="expression" dxfId="6948" priority="192">
      <formula>$C46&gt;$E$3</formula>
    </cfRule>
  </conditionalFormatting>
  <conditionalFormatting sqref="K46">
    <cfRule type="expression" dxfId="6947" priority="188">
      <formula>$E46=""</formula>
    </cfRule>
  </conditionalFormatting>
  <conditionalFormatting sqref="K46">
    <cfRule type="expression" dxfId="6946" priority="187">
      <formula>$C46&lt;$E$3</formula>
    </cfRule>
  </conditionalFormatting>
  <conditionalFormatting sqref="K46">
    <cfRule type="expression" dxfId="6945" priority="186">
      <formula>$E46=""</formula>
    </cfRule>
  </conditionalFormatting>
  <conditionalFormatting sqref="K46">
    <cfRule type="expression" dxfId="6944" priority="185">
      <formula>$E46=""</formula>
    </cfRule>
  </conditionalFormatting>
  <conditionalFormatting sqref="K46">
    <cfRule type="expression" dxfId="6943" priority="184">
      <formula>$C46&lt;$E$3</formula>
    </cfRule>
  </conditionalFormatting>
  <conditionalFormatting sqref="K46">
    <cfRule type="expression" dxfId="6942" priority="183">
      <formula>$E46=""</formula>
    </cfRule>
  </conditionalFormatting>
  <conditionalFormatting sqref="K46">
    <cfRule type="expression" dxfId="6941" priority="182">
      <formula>$C46&lt;$E$3</formula>
    </cfRule>
  </conditionalFormatting>
  <conditionalFormatting sqref="K46">
    <cfRule type="expression" dxfId="6940" priority="181">
      <formula>$E46=""</formula>
    </cfRule>
  </conditionalFormatting>
  <conditionalFormatting sqref="K46">
    <cfRule type="expression" dxfId="6939" priority="180">
      <formula>$C46&lt;$E$3</formula>
    </cfRule>
  </conditionalFormatting>
  <conditionalFormatting sqref="K46">
    <cfRule type="expression" dxfId="6938" priority="179">
      <formula>$E46=""</formula>
    </cfRule>
  </conditionalFormatting>
  <conditionalFormatting sqref="K46">
    <cfRule type="expression" dxfId="6937" priority="178">
      <formula>$C46&lt;$E$3</formula>
    </cfRule>
  </conditionalFormatting>
  <conditionalFormatting sqref="K46">
    <cfRule type="expression" dxfId="6936" priority="174">
      <formula>$C46=$E$3</formula>
    </cfRule>
    <cfRule type="expression" dxfId="6935" priority="175">
      <formula>$C46&lt;$E$3</formula>
    </cfRule>
    <cfRule type="cellIs" dxfId="6934" priority="176" operator="equal">
      <formula>0</formula>
    </cfRule>
    <cfRule type="expression" dxfId="6933" priority="177">
      <formula>$C46&gt;$E$3</formula>
    </cfRule>
  </conditionalFormatting>
  <conditionalFormatting sqref="K46">
    <cfRule type="expression" dxfId="6932" priority="173">
      <formula>$C46&lt;$E$3</formula>
    </cfRule>
  </conditionalFormatting>
  <conditionalFormatting sqref="K46">
    <cfRule type="expression" dxfId="6931" priority="169">
      <formula>$C46=$E$3</formula>
    </cfRule>
    <cfRule type="expression" dxfId="6930" priority="170">
      <formula>$C46&lt;$E$3</formula>
    </cfRule>
    <cfRule type="cellIs" dxfId="6929" priority="171" operator="equal">
      <formula>0</formula>
    </cfRule>
    <cfRule type="expression" dxfId="6928" priority="172">
      <formula>$C46&gt;$E$3</formula>
    </cfRule>
  </conditionalFormatting>
  <conditionalFormatting sqref="K46">
    <cfRule type="expression" dxfId="6927" priority="168">
      <formula>$C46&lt;$E$3</formula>
    </cfRule>
  </conditionalFormatting>
  <conditionalFormatting sqref="K46">
    <cfRule type="expression" dxfId="6926" priority="164">
      <formula>$C46=$E$3</formula>
    </cfRule>
    <cfRule type="expression" dxfId="6925" priority="165">
      <formula>$C46&lt;$E$3</formula>
    </cfRule>
    <cfRule type="cellIs" dxfId="6924" priority="166" operator="equal">
      <formula>0</formula>
    </cfRule>
    <cfRule type="expression" dxfId="6923" priority="167">
      <formula>$C46&gt;$E$3</formula>
    </cfRule>
  </conditionalFormatting>
  <conditionalFormatting sqref="K46">
    <cfRule type="expression" dxfId="6922" priority="163">
      <formula>$C46&lt;$E$3</formula>
    </cfRule>
  </conditionalFormatting>
  <conditionalFormatting sqref="K46">
    <cfRule type="expression" dxfId="6921" priority="159">
      <formula>$C46=$E$3</formula>
    </cfRule>
    <cfRule type="expression" dxfId="6920" priority="160">
      <formula>$C46&lt;$E$3</formula>
    </cfRule>
    <cfRule type="cellIs" dxfId="6919" priority="161" operator="equal">
      <formula>0</formula>
    </cfRule>
    <cfRule type="expression" dxfId="6918" priority="162">
      <formula>$C46&gt;$E$3</formula>
    </cfRule>
  </conditionalFormatting>
  <conditionalFormatting sqref="K46">
    <cfRule type="expression" dxfId="6917" priority="158">
      <formula>$E46=""</formula>
    </cfRule>
  </conditionalFormatting>
  <conditionalFormatting sqref="K46">
    <cfRule type="expression" dxfId="6916" priority="157">
      <formula>$C46&lt;$E$3</formula>
    </cfRule>
  </conditionalFormatting>
  <conditionalFormatting sqref="K46">
    <cfRule type="expression" dxfId="6915" priority="156">
      <formula>$E46=""</formula>
    </cfRule>
  </conditionalFormatting>
  <conditionalFormatting sqref="K46">
    <cfRule type="expression" dxfId="6914" priority="155">
      <formula>$E46=""</formula>
    </cfRule>
  </conditionalFormatting>
  <conditionalFormatting sqref="K46">
    <cfRule type="expression" dxfId="6913" priority="154">
      <formula>$C46&lt;$E$3</formula>
    </cfRule>
  </conditionalFormatting>
  <conditionalFormatting sqref="K46">
    <cfRule type="expression" dxfId="6912" priority="153">
      <formula>$E46=""</formula>
    </cfRule>
  </conditionalFormatting>
  <conditionalFormatting sqref="K46">
    <cfRule type="expression" dxfId="6911" priority="152">
      <formula>$C46&lt;$E$3</formula>
    </cfRule>
  </conditionalFormatting>
  <conditionalFormatting sqref="K46">
    <cfRule type="expression" dxfId="6910" priority="151">
      <formula>$E46=""</formula>
    </cfRule>
  </conditionalFormatting>
  <conditionalFormatting sqref="K46">
    <cfRule type="expression" dxfId="6909" priority="150">
      <formula>$C46&lt;$E$3</formula>
    </cfRule>
  </conditionalFormatting>
  <conditionalFormatting sqref="K46">
    <cfRule type="expression" dxfId="6908" priority="149">
      <formula>$E46=""</formula>
    </cfRule>
  </conditionalFormatting>
  <conditionalFormatting sqref="K41:K45">
    <cfRule type="expression" dxfId="6907" priority="148">
      <formula>$C41&lt;$E$3</formula>
    </cfRule>
  </conditionalFormatting>
  <conditionalFormatting sqref="K41:K45">
    <cfRule type="expression" dxfId="6906" priority="144">
      <formula>$C41=$E$3</formula>
    </cfRule>
    <cfRule type="expression" dxfId="6905" priority="145">
      <formula>$C41&lt;$E$3</formula>
    </cfRule>
    <cfRule type="cellIs" dxfId="6904" priority="146" operator="equal">
      <formula>0</formula>
    </cfRule>
    <cfRule type="expression" dxfId="6903" priority="147">
      <formula>$C41&gt;$E$3</formula>
    </cfRule>
  </conditionalFormatting>
  <conditionalFormatting sqref="K41:K45">
    <cfRule type="expression" dxfId="6902" priority="143">
      <formula>$C41&lt;$E$3</formula>
    </cfRule>
  </conditionalFormatting>
  <conditionalFormatting sqref="K41:K45">
    <cfRule type="expression" dxfId="6901" priority="139">
      <formula>$C41=$E$3</formula>
    </cfRule>
    <cfRule type="expression" dxfId="6900" priority="140">
      <formula>$C41&lt;$E$3</formula>
    </cfRule>
    <cfRule type="cellIs" dxfId="6899" priority="141" operator="equal">
      <formula>0</formula>
    </cfRule>
    <cfRule type="expression" dxfId="6898" priority="142">
      <formula>$C41&gt;$E$3</formula>
    </cfRule>
  </conditionalFormatting>
  <conditionalFormatting sqref="K41:K45">
    <cfRule type="expression" dxfId="6897" priority="138">
      <formula>$C41&lt;$E$3</formula>
    </cfRule>
  </conditionalFormatting>
  <conditionalFormatting sqref="K41:K45">
    <cfRule type="expression" dxfId="6896" priority="134">
      <formula>$C41=$E$3</formula>
    </cfRule>
    <cfRule type="expression" dxfId="6895" priority="135">
      <formula>$C41&lt;$E$3</formula>
    </cfRule>
    <cfRule type="cellIs" dxfId="6894" priority="136" operator="equal">
      <formula>0</formula>
    </cfRule>
    <cfRule type="expression" dxfId="6893" priority="137">
      <formula>$C41&gt;$E$3</formula>
    </cfRule>
  </conditionalFormatting>
  <conditionalFormatting sqref="K41:K45">
    <cfRule type="expression" dxfId="6892" priority="133">
      <formula>$C41&lt;$E$3</formula>
    </cfRule>
  </conditionalFormatting>
  <conditionalFormatting sqref="K41:K45">
    <cfRule type="expression" dxfId="6891" priority="129">
      <formula>$C41=$E$3</formula>
    </cfRule>
    <cfRule type="expression" dxfId="6890" priority="130">
      <formula>$C41&lt;$E$3</formula>
    </cfRule>
    <cfRule type="cellIs" dxfId="6889" priority="131" operator="equal">
      <formula>0</formula>
    </cfRule>
    <cfRule type="expression" dxfId="6888" priority="132">
      <formula>$C41&gt;$E$3</formula>
    </cfRule>
  </conditionalFormatting>
  <conditionalFormatting sqref="K41:K45">
    <cfRule type="expression" dxfId="6887" priority="128">
      <formula>$E41=""</formula>
    </cfRule>
  </conditionalFormatting>
  <conditionalFormatting sqref="K41:K45">
    <cfRule type="expression" dxfId="6886" priority="127">
      <formula>$C41&lt;$E$3</formula>
    </cfRule>
  </conditionalFormatting>
  <conditionalFormatting sqref="K41:K45">
    <cfRule type="expression" dxfId="6885" priority="126">
      <formula>$E41=""</formula>
    </cfRule>
  </conditionalFormatting>
  <conditionalFormatting sqref="K41:K45">
    <cfRule type="expression" dxfId="6884" priority="125">
      <formula>$E41=""</formula>
    </cfRule>
  </conditionalFormatting>
  <conditionalFormatting sqref="K41:K45">
    <cfRule type="expression" dxfId="6883" priority="124">
      <formula>$C41&lt;$E$3</formula>
    </cfRule>
  </conditionalFormatting>
  <conditionalFormatting sqref="K41:K45">
    <cfRule type="expression" dxfId="6882" priority="123">
      <formula>$E41=""</formula>
    </cfRule>
  </conditionalFormatting>
  <conditionalFormatting sqref="K41:K45">
    <cfRule type="expression" dxfId="6881" priority="122">
      <formula>$C41&lt;$E$3</formula>
    </cfRule>
  </conditionalFormatting>
  <conditionalFormatting sqref="K41:K45">
    <cfRule type="expression" dxfId="6880" priority="121">
      <formula>$E41=""</formula>
    </cfRule>
  </conditionalFormatting>
  <conditionalFormatting sqref="K41:K45">
    <cfRule type="expression" dxfId="6879" priority="120">
      <formula>$C41&lt;$E$3</formula>
    </cfRule>
  </conditionalFormatting>
  <conditionalFormatting sqref="K41:K45">
    <cfRule type="expression" dxfId="6878" priority="119">
      <formula>$E41=""</formula>
    </cfRule>
  </conditionalFormatting>
  <conditionalFormatting sqref="K41:K45">
    <cfRule type="expression" dxfId="6877" priority="118">
      <formula>$C41&lt;$E$3</formula>
    </cfRule>
  </conditionalFormatting>
  <conditionalFormatting sqref="K41:K45">
    <cfRule type="expression" dxfId="6876" priority="114">
      <formula>$C41=$E$3</formula>
    </cfRule>
    <cfRule type="expression" dxfId="6875" priority="115">
      <formula>$C41&lt;$E$3</formula>
    </cfRule>
    <cfRule type="cellIs" dxfId="6874" priority="116" operator="equal">
      <formula>0</formula>
    </cfRule>
    <cfRule type="expression" dxfId="6873" priority="117">
      <formula>$C41&gt;$E$3</formula>
    </cfRule>
  </conditionalFormatting>
  <conditionalFormatting sqref="K41:K45">
    <cfRule type="expression" dxfId="6872" priority="113">
      <formula>$C41&lt;$E$3</formula>
    </cfRule>
  </conditionalFormatting>
  <conditionalFormatting sqref="K41:K45">
    <cfRule type="expression" dxfId="6871" priority="109">
      <formula>$C41=$E$3</formula>
    </cfRule>
    <cfRule type="expression" dxfId="6870" priority="110">
      <formula>$C41&lt;$E$3</formula>
    </cfRule>
    <cfRule type="cellIs" dxfId="6869" priority="111" operator="equal">
      <formula>0</formula>
    </cfRule>
    <cfRule type="expression" dxfId="6868" priority="112">
      <formula>$C41&gt;$E$3</formula>
    </cfRule>
  </conditionalFormatting>
  <conditionalFormatting sqref="K41:K45">
    <cfRule type="expression" dxfId="6867" priority="108">
      <formula>$C41&lt;$E$3</formula>
    </cfRule>
  </conditionalFormatting>
  <conditionalFormatting sqref="K41:K45">
    <cfRule type="expression" dxfId="6866" priority="104">
      <formula>$C41=$E$3</formula>
    </cfRule>
    <cfRule type="expression" dxfId="6865" priority="105">
      <formula>$C41&lt;$E$3</formula>
    </cfRule>
    <cfRule type="cellIs" dxfId="6864" priority="106" operator="equal">
      <formula>0</formula>
    </cfRule>
    <cfRule type="expression" dxfId="6863" priority="107">
      <formula>$C41&gt;$E$3</formula>
    </cfRule>
  </conditionalFormatting>
  <conditionalFormatting sqref="K41:K45">
    <cfRule type="expression" dxfId="6862" priority="103">
      <formula>$C41&lt;$E$3</formula>
    </cfRule>
  </conditionalFormatting>
  <conditionalFormatting sqref="K41:K45">
    <cfRule type="expression" dxfId="6861" priority="99">
      <formula>$C41=$E$3</formula>
    </cfRule>
    <cfRule type="expression" dxfId="6860" priority="100">
      <formula>$C41&lt;$E$3</formula>
    </cfRule>
    <cfRule type="cellIs" dxfId="6859" priority="101" operator="equal">
      <formula>0</formula>
    </cfRule>
    <cfRule type="expression" dxfId="6858" priority="102">
      <formula>$C41&gt;$E$3</formula>
    </cfRule>
  </conditionalFormatting>
  <conditionalFormatting sqref="K41:K45">
    <cfRule type="expression" dxfId="6857" priority="98">
      <formula>$E41=""</formula>
    </cfRule>
  </conditionalFormatting>
  <conditionalFormatting sqref="K41:K45">
    <cfRule type="expression" dxfId="6856" priority="97">
      <formula>$C41&lt;$E$3</formula>
    </cfRule>
  </conditionalFormatting>
  <conditionalFormatting sqref="K41:K45">
    <cfRule type="expression" dxfId="6855" priority="96">
      <formula>$E41=""</formula>
    </cfRule>
  </conditionalFormatting>
  <conditionalFormatting sqref="K41:K45">
    <cfRule type="expression" dxfId="6854" priority="95">
      <formula>$E41=""</formula>
    </cfRule>
  </conditionalFormatting>
  <conditionalFormatting sqref="K41:K45">
    <cfRule type="expression" dxfId="6853" priority="94">
      <formula>$C41&lt;$E$3</formula>
    </cfRule>
  </conditionalFormatting>
  <conditionalFormatting sqref="K41:K45">
    <cfRule type="expression" dxfId="6852" priority="93">
      <formula>$E41=""</formula>
    </cfRule>
  </conditionalFormatting>
  <conditionalFormatting sqref="K41:K45">
    <cfRule type="expression" dxfId="6851" priority="92">
      <formula>$C41&lt;$E$3</formula>
    </cfRule>
  </conditionalFormatting>
  <conditionalFormatting sqref="K41:K45">
    <cfRule type="expression" dxfId="6850" priority="91">
      <formula>$E41=""</formula>
    </cfRule>
  </conditionalFormatting>
  <conditionalFormatting sqref="K41:K45">
    <cfRule type="expression" dxfId="6849" priority="90">
      <formula>$C41&lt;$E$3</formula>
    </cfRule>
  </conditionalFormatting>
  <conditionalFormatting sqref="K41:K45">
    <cfRule type="expression" dxfId="6848" priority="89">
      <formula>$E41=""</formula>
    </cfRule>
  </conditionalFormatting>
  <conditionalFormatting sqref="K41:K47">
    <cfRule type="expression" dxfId="6847" priority="87">
      <formula>$C41&lt;$E$3</formula>
    </cfRule>
  </conditionalFormatting>
  <conditionalFormatting sqref="K41:K47">
    <cfRule type="expression" dxfId="6846" priority="84">
      <formula>$C41=$E$3</formula>
    </cfRule>
    <cfRule type="expression" dxfId="6845" priority="85">
      <formula>$C41&lt;$E$3</formula>
    </cfRule>
    <cfRule type="cellIs" dxfId="6844" priority="86" operator="equal">
      <formula>0</formula>
    </cfRule>
    <cfRule type="expression" dxfId="6843" priority="88">
      <formula>$C41&gt;$E$3</formula>
    </cfRule>
  </conditionalFormatting>
  <conditionalFormatting sqref="K41:K47">
    <cfRule type="expression" dxfId="6842" priority="83">
      <formula>$E41=""</formula>
    </cfRule>
  </conditionalFormatting>
  <conditionalFormatting sqref="K41:K47">
    <cfRule type="expression" dxfId="6841" priority="82">
      <formula>$E41=""</formula>
    </cfRule>
  </conditionalFormatting>
  <conditionalFormatting sqref="K41:K47">
    <cfRule type="expression" dxfId="6840" priority="81">
      <formula>$E41=""</formula>
    </cfRule>
  </conditionalFormatting>
  <conditionalFormatting sqref="K50:K51">
    <cfRule type="cellIs" dxfId="6839" priority="80" stopIfTrue="1" operator="lessThan">
      <formula>0</formula>
    </cfRule>
  </conditionalFormatting>
  <conditionalFormatting sqref="K50:K51">
    <cfRule type="expression" dxfId="6838" priority="78">
      <formula>$C50&lt;$E$3</formula>
    </cfRule>
  </conditionalFormatting>
  <conditionalFormatting sqref="K50:K51">
    <cfRule type="expression" dxfId="6837" priority="75">
      <formula>$C50=$E$3</formula>
    </cfRule>
    <cfRule type="expression" dxfId="6836" priority="76">
      <formula>$C50&lt;$E$3</formula>
    </cfRule>
    <cfRule type="cellIs" dxfId="6835" priority="77" operator="equal">
      <formula>0</formula>
    </cfRule>
    <cfRule type="expression" dxfId="6834" priority="79">
      <formula>$C50&gt;$E$3</formula>
    </cfRule>
  </conditionalFormatting>
  <conditionalFormatting sqref="K50:K51">
    <cfRule type="expression" dxfId="6833" priority="74">
      <formula>$E50=""</formula>
    </cfRule>
  </conditionalFormatting>
  <conditionalFormatting sqref="K50:K51">
    <cfRule type="expression" dxfId="6832" priority="73">
      <formula>$E50=""</formula>
    </cfRule>
  </conditionalFormatting>
  <conditionalFormatting sqref="K50:K51">
    <cfRule type="expression" dxfId="6831" priority="72">
      <formula>$E50=""</formula>
    </cfRule>
  </conditionalFormatting>
  <conditionalFormatting sqref="K50:K51">
    <cfRule type="expression" dxfId="6830" priority="71">
      <formula>$C50&lt;$E$3</formula>
    </cfRule>
  </conditionalFormatting>
  <conditionalFormatting sqref="K50:K51">
    <cfRule type="expression" dxfId="6829" priority="67">
      <formula>$C50=$E$3</formula>
    </cfRule>
    <cfRule type="expression" dxfId="6828" priority="68">
      <formula>$C50&lt;$E$3</formula>
    </cfRule>
    <cfRule type="cellIs" dxfId="6827" priority="69" operator="equal">
      <formula>0</formula>
    </cfRule>
    <cfRule type="expression" dxfId="6826" priority="70">
      <formula>$C50&gt;$E$3</formula>
    </cfRule>
  </conditionalFormatting>
  <conditionalFormatting sqref="K50:K51">
    <cfRule type="expression" dxfId="6825" priority="66">
      <formula>$C50&lt;$E$3</formula>
    </cfRule>
  </conditionalFormatting>
  <conditionalFormatting sqref="K50:K51">
    <cfRule type="expression" dxfId="6824" priority="62">
      <formula>$C50=$E$3</formula>
    </cfRule>
    <cfRule type="expression" dxfId="6823" priority="63">
      <formula>$C50&lt;$E$3</formula>
    </cfRule>
    <cfRule type="cellIs" dxfId="6822" priority="64" operator="equal">
      <formula>0</formula>
    </cfRule>
    <cfRule type="expression" dxfId="6821" priority="65">
      <formula>$C50&gt;$E$3</formula>
    </cfRule>
  </conditionalFormatting>
  <conditionalFormatting sqref="K50:K51">
    <cfRule type="expression" dxfId="6820" priority="61">
      <formula>$C50&lt;$E$3</formula>
    </cfRule>
  </conditionalFormatting>
  <conditionalFormatting sqref="K50:K51">
    <cfRule type="expression" dxfId="6819" priority="57">
      <formula>$C50=$E$3</formula>
    </cfRule>
    <cfRule type="expression" dxfId="6818" priority="58">
      <formula>$C50&lt;$E$3</formula>
    </cfRule>
    <cfRule type="cellIs" dxfId="6817" priority="59" operator="equal">
      <formula>0</formula>
    </cfRule>
    <cfRule type="expression" dxfId="6816" priority="60">
      <formula>$C50&gt;$E$3</formula>
    </cfRule>
  </conditionalFormatting>
  <conditionalFormatting sqref="K50:K51">
    <cfRule type="expression" dxfId="6815" priority="56">
      <formula>$C50&lt;$E$3</formula>
    </cfRule>
  </conditionalFormatting>
  <conditionalFormatting sqref="K50:K51">
    <cfRule type="expression" dxfId="6814" priority="52">
      <formula>$C50=$E$3</formula>
    </cfRule>
    <cfRule type="expression" dxfId="6813" priority="53">
      <formula>$C50&lt;$E$3</formula>
    </cfRule>
    <cfRule type="cellIs" dxfId="6812" priority="54" operator="equal">
      <formula>0</formula>
    </cfRule>
    <cfRule type="expression" dxfId="6811" priority="55">
      <formula>$C50&gt;$E$3</formula>
    </cfRule>
  </conditionalFormatting>
  <conditionalFormatting sqref="K50:K51">
    <cfRule type="expression" dxfId="6810" priority="50">
      <formula>$C50&lt;$E$3</formula>
    </cfRule>
  </conditionalFormatting>
  <conditionalFormatting sqref="K50:K51">
    <cfRule type="expression" dxfId="6809" priority="49">
      <formula>$E50=""</formula>
    </cfRule>
  </conditionalFormatting>
  <conditionalFormatting sqref="K50:K51">
    <cfRule type="expression" dxfId="6808" priority="48">
      <formula>$E50=""</formula>
    </cfRule>
  </conditionalFormatting>
  <conditionalFormatting sqref="K50:K51">
    <cfRule type="expression" dxfId="6807" priority="47">
      <formula>$C50&lt;$E$3</formula>
    </cfRule>
  </conditionalFormatting>
  <conditionalFormatting sqref="K50:K51">
    <cfRule type="expression" dxfId="6806" priority="46">
      <formula>$E50=""</formula>
    </cfRule>
  </conditionalFormatting>
  <conditionalFormatting sqref="K50:K51">
    <cfRule type="expression" dxfId="6805" priority="45">
      <formula>$C50&lt;$E$3</formula>
    </cfRule>
  </conditionalFormatting>
  <conditionalFormatting sqref="K50:K51">
    <cfRule type="expression" dxfId="6804" priority="44">
      <formula>$E50=""</formula>
    </cfRule>
  </conditionalFormatting>
  <conditionalFormatting sqref="K50:K51">
    <cfRule type="expression" dxfId="6803" priority="43">
      <formula>$C50&lt;$E$3</formula>
    </cfRule>
  </conditionalFormatting>
  <conditionalFormatting sqref="K50:K51">
    <cfRule type="expression" dxfId="6802" priority="42">
      <formula>$E50=""</formula>
    </cfRule>
  </conditionalFormatting>
  <conditionalFormatting sqref="K50:K51">
    <cfRule type="expression" dxfId="6801" priority="41">
      <formula>$C50&lt;$E$3</formula>
    </cfRule>
  </conditionalFormatting>
  <conditionalFormatting sqref="K50:K51">
    <cfRule type="expression" dxfId="6800" priority="37">
      <formula>$C50=$E$3</formula>
    </cfRule>
    <cfRule type="expression" dxfId="6799" priority="38">
      <formula>$C50&lt;$E$3</formula>
    </cfRule>
    <cfRule type="cellIs" dxfId="6798" priority="39" operator="equal">
      <formula>0</formula>
    </cfRule>
    <cfRule type="expression" dxfId="6797" priority="40">
      <formula>$C50&gt;$E$3</formula>
    </cfRule>
  </conditionalFormatting>
  <conditionalFormatting sqref="K50:K51">
    <cfRule type="expression" dxfId="6796" priority="36">
      <formula>$C50&lt;$E$3</formula>
    </cfRule>
  </conditionalFormatting>
  <conditionalFormatting sqref="K50:K51">
    <cfRule type="expression" dxfId="6795" priority="32">
      <formula>$C50=$E$3</formula>
    </cfRule>
    <cfRule type="expression" dxfId="6794" priority="33">
      <formula>$C50&lt;$E$3</formula>
    </cfRule>
    <cfRule type="cellIs" dxfId="6793" priority="34" operator="equal">
      <formula>0</formula>
    </cfRule>
    <cfRule type="expression" dxfId="6792" priority="35">
      <formula>$C50&gt;$E$3</formula>
    </cfRule>
  </conditionalFormatting>
  <conditionalFormatting sqref="K50:K51">
    <cfRule type="expression" dxfId="6791" priority="31">
      <formula>$C50&lt;$E$3</formula>
    </cfRule>
  </conditionalFormatting>
  <conditionalFormatting sqref="K50:K51">
    <cfRule type="expression" dxfId="6790" priority="27">
      <formula>$C50=$E$3</formula>
    </cfRule>
    <cfRule type="expression" dxfId="6789" priority="28">
      <formula>$C50&lt;$E$3</formula>
    </cfRule>
    <cfRule type="cellIs" dxfId="6788" priority="29" operator="equal">
      <formula>0</formula>
    </cfRule>
    <cfRule type="expression" dxfId="6787" priority="30">
      <formula>$C50&gt;$E$3</formula>
    </cfRule>
  </conditionalFormatting>
  <conditionalFormatting sqref="K50:K51">
    <cfRule type="expression" dxfId="6786" priority="26">
      <formula>$C50&lt;$E$3</formula>
    </cfRule>
  </conditionalFormatting>
  <conditionalFormatting sqref="K50:K51">
    <cfRule type="expression" dxfId="6785" priority="22">
      <formula>$C50=$E$3</formula>
    </cfRule>
    <cfRule type="expression" dxfId="6784" priority="23">
      <formula>$C50&lt;$E$3</formula>
    </cfRule>
    <cfRule type="cellIs" dxfId="6783" priority="24" operator="equal">
      <formula>0</formula>
    </cfRule>
    <cfRule type="expression" dxfId="6782" priority="25">
      <formula>$C50&gt;$E$3</formula>
    </cfRule>
  </conditionalFormatting>
  <conditionalFormatting sqref="K50:K51">
    <cfRule type="expression" dxfId="6781" priority="21">
      <formula>$E50=""</formula>
    </cfRule>
  </conditionalFormatting>
  <conditionalFormatting sqref="K50:K51">
    <cfRule type="expression" dxfId="6780" priority="20">
      <formula>$C50&lt;$E$3</formula>
    </cfRule>
  </conditionalFormatting>
  <conditionalFormatting sqref="K50:K51">
    <cfRule type="expression" dxfId="6779" priority="19">
      <formula>$E50=""</formula>
    </cfRule>
  </conditionalFormatting>
  <conditionalFormatting sqref="K50:K51">
    <cfRule type="expression" dxfId="6778" priority="18">
      <formula>$E50=""</formula>
    </cfRule>
  </conditionalFormatting>
  <conditionalFormatting sqref="K50:K51">
    <cfRule type="expression" dxfId="6777" priority="17">
      <formula>$C50&lt;$E$3</formula>
    </cfRule>
  </conditionalFormatting>
  <conditionalFormatting sqref="K50:K51">
    <cfRule type="expression" dxfId="6776" priority="16">
      <formula>$E50=""</formula>
    </cfRule>
  </conditionalFormatting>
  <conditionalFormatting sqref="K50:K51">
    <cfRule type="expression" dxfId="6775" priority="15">
      <formula>$C50&lt;$E$3</formula>
    </cfRule>
  </conditionalFormatting>
  <conditionalFormatting sqref="K50:K51">
    <cfRule type="expression" dxfId="6774" priority="14">
      <formula>$E50=""</formula>
    </cfRule>
  </conditionalFormatting>
  <conditionalFormatting sqref="K50:K51">
    <cfRule type="expression" dxfId="6773" priority="13">
      <formula>$C50&lt;$E$3</formula>
    </cfRule>
  </conditionalFormatting>
  <conditionalFormatting sqref="K50:K51">
    <cfRule type="expression" dxfId="6772" priority="12">
      <formula>$E50=""</formula>
    </cfRule>
  </conditionalFormatting>
  <conditionalFormatting sqref="K50:K51">
    <cfRule type="expression" dxfId="6771" priority="10">
      <formula>$C50&lt;$E$3</formula>
    </cfRule>
  </conditionalFormatting>
  <conditionalFormatting sqref="K50:K51">
    <cfRule type="expression" dxfId="6770" priority="7">
      <formula>$C50=$E$3</formula>
    </cfRule>
    <cfRule type="expression" dxfId="6769" priority="8">
      <formula>$C50&lt;$E$3</formula>
    </cfRule>
    <cfRule type="cellIs" dxfId="6768" priority="9" operator="equal">
      <formula>0</formula>
    </cfRule>
    <cfRule type="expression" dxfId="6767" priority="11">
      <formula>$C50&gt;$E$3</formula>
    </cfRule>
  </conditionalFormatting>
  <conditionalFormatting sqref="K50:K51">
    <cfRule type="expression" dxfId="6766" priority="6">
      <formula>$E50=""</formula>
    </cfRule>
  </conditionalFormatting>
  <conditionalFormatting sqref="K50:K51">
    <cfRule type="expression" dxfId="6765" priority="5">
      <formula>$E50=""</formula>
    </cfRule>
  </conditionalFormatting>
  <conditionalFormatting sqref="K50:K51">
    <cfRule type="expression" dxfId="6764" priority="4">
      <formula>$E50=""</formula>
    </cfRule>
  </conditionalFormatting>
  <conditionalFormatting sqref="V50:W51 V5:W20 V23:W29 V32:W38 V41:W47">
    <cfRule type="cellIs" dxfId="6763" priority="1" stopIfTrue="1" operator="lessThan">
      <formula>0</formula>
    </cfRule>
  </conditionalFormatting>
  <conditionalFormatting sqref="Q4:Q51 R5:R11 R14:R20 R23:R29 R32:R38 R41:R47 R50:R51 T50:U51 T41:U47 T32:U38 T23:U29 T14:U20 T5:U11">
    <cfRule type="cellIs" dxfId="6762" priority="2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BB66"/>
  <sheetViews>
    <sheetView zoomScale="75" zoomScaleNormal="75" zoomScalePageLayoutView="75" workbookViewId="0">
      <pane ySplit="4" topLeftCell="A5" activePane="bottomLeft" state="frozen"/>
      <selection pane="bottomLeft" activeCell="F25" sqref="F25"/>
    </sheetView>
  </sheetViews>
  <sheetFormatPr baseColWidth="10" defaultColWidth="8.83203125" defaultRowHeight="15" x14ac:dyDescent="0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.1640625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.25" customHeight="1" thickBot="1">
      <c r="A1" s="52">
        <v>7</v>
      </c>
      <c r="B1" s="50" t="s">
        <v>0</v>
      </c>
      <c r="C1" s="51" t="s">
        <v>0</v>
      </c>
      <c r="D1" s="51"/>
      <c r="E1" s="363" t="str">
        <f>VLOOKUP(A1,'MY STATS'!$B$29:$E$40,4)</f>
        <v>Jul.</v>
      </c>
      <c r="F1" s="141" t="s">
        <v>78</v>
      </c>
      <c r="G1" s="142" t="s">
        <v>77</v>
      </c>
      <c r="H1" s="143" t="s">
        <v>79</v>
      </c>
      <c r="I1" s="144"/>
      <c r="J1" s="144" t="s">
        <v>113</v>
      </c>
      <c r="K1" s="127" t="s">
        <v>109</v>
      </c>
      <c r="L1" s="142" t="s">
        <v>114</v>
      </c>
      <c r="M1" s="127" t="s">
        <v>110</v>
      </c>
      <c r="N1" s="321" t="s">
        <v>59</v>
      </c>
      <c r="O1" s="244" t="s">
        <v>31</v>
      </c>
      <c r="P1" s="250" t="s">
        <v>32</v>
      </c>
      <c r="Q1" s="250" t="s">
        <v>32</v>
      </c>
      <c r="R1" s="343" t="s">
        <v>38</v>
      </c>
      <c r="S1" s="364" t="s">
        <v>149</v>
      </c>
      <c r="T1" s="343"/>
      <c r="U1" s="343"/>
      <c r="V1" s="343" t="s">
        <v>107</v>
      </c>
      <c r="W1" s="343" t="s">
        <v>108</v>
      </c>
      <c r="X1" s="250" t="s">
        <v>30</v>
      </c>
      <c r="Y1" s="250" t="s">
        <v>27</v>
      </c>
      <c r="Z1" s="250" t="s">
        <v>28</v>
      </c>
      <c r="AA1" s="344" t="s">
        <v>29</v>
      </c>
      <c r="AB1" s="230"/>
      <c r="AC1" s="100"/>
      <c r="AD1" s="97"/>
    </row>
    <row r="2" spans="1:34" ht="32" hidden="1" thickTop="1" thickBot="1">
      <c r="A2" s="95" t="s">
        <v>75</v>
      </c>
      <c r="B2" s="25">
        <f>VLOOKUP(A1,'MY STATS'!$B$29:$G$40,3)</f>
        <v>43282</v>
      </c>
      <c r="D2" s="45"/>
      <c r="E2" s="2" t="s">
        <v>19</v>
      </c>
      <c r="F2" s="95" t="s">
        <v>74</v>
      </c>
      <c r="G2" s="93" t="s">
        <v>61</v>
      </c>
      <c r="H2" s="64" t="s">
        <v>60</v>
      </c>
      <c r="I2" s="64"/>
      <c r="J2" s="64"/>
      <c r="K2" s="64"/>
      <c r="L2" s="64"/>
      <c r="M2" s="64"/>
      <c r="N2" s="322"/>
      <c r="O2" s="345"/>
      <c r="P2" s="230"/>
      <c r="Q2" s="230"/>
      <c r="R2" s="346">
        <f>'MY STATS'!A15</f>
        <v>1</v>
      </c>
      <c r="S2" s="346"/>
      <c r="T2" s="346"/>
      <c r="U2" s="346"/>
      <c r="V2" s="346"/>
      <c r="W2" s="346"/>
      <c r="X2" s="230"/>
      <c r="Y2" s="230"/>
      <c r="Z2" s="234"/>
      <c r="AA2" s="234"/>
      <c r="AB2" s="230"/>
      <c r="AC2" s="100"/>
      <c r="AD2" s="97"/>
    </row>
    <row r="3" spans="1:34" ht="17" hidden="1" thickTop="1" thickBot="1">
      <c r="A3" s="96">
        <f>'MY STATS'!D41</f>
        <v>43466</v>
      </c>
      <c r="B3" s="25">
        <f>VLOOKUP(A1+1,'MY STATS'!$B$29:$G$41,3)-1</f>
        <v>43312</v>
      </c>
      <c r="C3" s="25">
        <f>VLOOKUP(A1,'MY STATS'!$B$29:$G$40,2)</f>
        <v>43276</v>
      </c>
      <c r="D3" s="46"/>
      <c r="E3" s="4">
        <f ca="1">TODAY()</f>
        <v>43138</v>
      </c>
      <c r="F3" s="65">
        <f>'MY STATS'!B$11</f>
        <v>587410.55929510726</v>
      </c>
      <c r="G3" s="65">
        <f>VLOOKUP(A1-1,'MY STATS'!B$28:J$40,9)</f>
        <v>0</v>
      </c>
      <c r="H3" s="66">
        <f>VLOOKUP($A$1-1,'MY STATS'!$B$28:$I$41,8)</f>
        <v>0</v>
      </c>
      <c r="I3" s="66"/>
      <c r="J3" s="66"/>
      <c r="K3" s="66"/>
      <c r="L3" s="65"/>
      <c r="M3" s="65"/>
      <c r="N3" s="323"/>
      <c r="O3" s="345"/>
      <c r="P3" s="230"/>
      <c r="Q3" s="230"/>
      <c r="R3" s="346"/>
      <c r="S3" s="346"/>
      <c r="T3" s="346"/>
      <c r="U3" s="346"/>
      <c r="V3" s="346"/>
      <c r="W3" s="346"/>
      <c r="X3" s="230"/>
      <c r="Y3" s="230"/>
      <c r="Z3" s="234"/>
      <c r="AA3" s="234"/>
      <c r="AB3" s="230"/>
      <c r="AC3" s="100"/>
      <c r="AD3" s="97"/>
    </row>
    <row r="4" spans="1:34" ht="14" hidden="1" customHeight="1" thickTop="1" thickBot="1">
      <c r="A4" s="3"/>
      <c r="C4" s="37">
        <f>C3-1</f>
        <v>43275</v>
      </c>
      <c r="D4" s="3"/>
      <c r="O4" s="347"/>
      <c r="P4" s="260">
        <f t="shared" ref="P4:P11" si="0">H$56</f>
        <v>98964.646075463708</v>
      </c>
      <c r="Q4" s="169">
        <f>IF(R$2=3,P4,IF(R$2=2,P4*1.0936,IF(R$2=1,P4*0.000568181818*1.0936133,"")))</f>
        <v>61.493780195049212</v>
      </c>
      <c r="R4" s="246"/>
      <c r="S4" s="246"/>
      <c r="T4" s="246"/>
      <c r="U4" s="246"/>
      <c r="V4" s="246"/>
      <c r="W4" s="246"/>
      <c r="X4" s="260"/>
      <c r="Y4" s="260"/>
      <c r="Z4" s="259">
        <v>0</v>
      </c>
      <c r="AA4" s="234"/>
      <c r="AB4" s="230">
        <v>0</v>
      </c>
      <c r="AC4" s="100"/>
      <c r="AD4" s="97"/>
    </row>
    <row r="5" spans="1:34" ht="16" thickTop="1">
      <c r="A5" s="26" t="s">
        <v>8</v>
      </c>
      <c r="B5" s="23">
        <f>IF(B$2&gt;C5,0,C5)</f>
        <v>0</v>
      </c>
      <c r="C5" s="37">
        <f>C3</f>
        <v>43276</v>
      </c>
      <c r="D5" s="24">
        <f t="shared" ref="D5:D51" ca="1" si="1">TODAY()-C5</f>
        <v>-138</v>
      </c>
      <c r="E5" s="115" t="str">
        <f>IF(B5=0,"","Monday")</f>
        <v/>
      </c>
      <c r="F5" s="55"/>
      <c r="G5" s="56"/>
      <c r="H5" s="56"/>
      <c r="I5" s="199"/>
      <c r="J5" s="56"/>
      <c r="K5" s="201" t="str">
        <f t="shared" ref="K5" si="2">IF(R5=0,"",IF(L5="","",J5))</f>
        <v/>
      </c>
      <c r="L5" s="56"/>
      <c r="M5" s="56" t="str">
        <f>IF(R5=0,"",IF(J5="","",L5))</f>
        <v/>
      </c>
      <c r="N5" s="324"/>
      <c r="O5" s="259" t="str">
        <f t="shared" ref="O5:O51" si="3">IF(B5=0,"",(F$3-G$3)/(A$3-B$2)+0.1)</f>
        <v/>
      </c>
      <c r="P5" s="260">
        <f t="shared" si="0"/>
        <v>98964.646075463708</v>
      </c>
      <c r="Q5" s="169">
        <f t="shared" ref="Q5:Q51" si="4">IF(R$2=3,P5,IF(R$2=2,P5*1.0936,IF(R$2=1,P5*0.000568181818*1.0936133,"")))</f>
        <v>61.493780195049212</v>
      </c>
      <c r="R5" s="169">
        <f>IF(R$2=3,H5+G5/1.0936133+F5/0.0006213712,IF(R$2=2,H5*1.0936133+G5+F5/0.0005681818,IF(R$2=1,H5*0.0005681818*1.0936133+G5*0.0005681818+F5,"")))</f>
        <v>0</v>
      </c>
      <c r="S5" s="368" t="str">
        <f>IF(R5=0,"",R5*IF(L5&gt;0,1,0))</f>
        <v/>
      </c>
      <c r="T5" s="169"/>
      <c r="U5" s="169"/>
      <c r="V5" s="170" t="str">
        <f t="shared" ref="V5:V11" si="5">IF(L5="","",IF(R5=0,"",IF(B5=0,"",IF($R$2=3,R5/L5*60/1000,IF($R$2=2,R5/L5*60/1760,IF($R$2=1,R5/L5*60,""))))))</f>
        <v/>
      </c>
      <c r="W5" s="170" t="str">
        <f t="shared" ref="W5:W11" si="6">IF(R5=0,"",IF(L5="","",V5*L5))</f>
        <v/>
      </c>
      <c r="X5" s="259">
        <f t="shared" ref="X5:Z11" si="7">F5+X4</f>
        <v>0</v>
      </c>
      <c r="Y5" s="259">
        <f t="shared" si="7"/>
        <v>0</v>
      </c>
      <c r="Z5" s="259">
        <f t="shared" si="7"/>
        <v>0</v>
      </c>
      <c r="AA5" s="348">
        <f t="shared" ref="AA5:AA51" si="8">Z5/1000+Y5/1093.6133+X5/0.621371192</f>
        <v>0</v>
      </c>
      <c r="AB5" s="349">
        <f>R5</f>
        <v>0</v>
      </c>
      <c r="AC5" s="120"/>
      <c r="AD5" s="98"/>
      <c r="AE5" s="8"/>
      <c r="AF5" s="8"/>
    </row>
    <row r="6" spans="1:34">
      <c r="A6" s="27"/>
      <c r="B6" s="5">
        <f t="shared" ref="B6:B11" si="9">IF(B$2&gt;C6,0,C6)</f>
        <v>0</v>
      </c>
      <c r="C6" s="38">
        <f>C3+1</f>
        <v>43277</v>
      </c>
      <c r="D6" s="7">
        <f t="shared" ca="1" si="1"/>
        <v>-139</v>
      </c>
      <c r="E6" s="114" t="str">
        <f>IF(B6=0,"","Tuesday")</f>
        <v/>
      </c>
      <c r="F6" s="55"/>
      <c r="G6" s="56"/>
      <c r="H6" s="56"/>
      <c r="I6" s="200"/>
      <c r="J6" s="56"/>
      <c r="K6" s="201" t="str">
        <f>IF(R6=0,"",IF(L6="","",J6))</f>
        <v/>
      </c>
      <c r="L6" s="56"/>
      <c r="M6" s="56" t="str">
        <f t="shared" ref="M6:M11" si="10">IF(R6=0,"",IF(J6="","",L6))</f>
        <v/>
      </c>
      <c r="N6" s="324"/>
      <c r="O6" s="259" t="str">
        <f t="shared" si="3"/>
        <v/>
      </c>
      <c r="P6" s="260">
        <f t="shared" si="0"/>
        <v>98964.646075463708</v>
      </c>
      <c r="Q6" s="169">
        <f t="shared" si="4"/>
        <v>61.493780195049212</v>
      </c>
      <c r="R6" s="169">
        <f t="shared" ref="R6:R11" si="11">IF(R$2=3,H6+G6/1.0936133+F6/0.0006213712,IF(R$2=2,H6*1.0936133+G6+F6/0.0005681818,IF(R$2=1,H6*0.0005681818*1.0936133+G6*0.0005681818+F6,"")))</f>
        <v>0</v>
      </c>
      <c r="S6" s="368" t="str">
        <f t="shared" ref="S6:S51" si="12">IF(R6=0,"",R6*IF(L6&gt;0,1,0))</f>
        <v/>
      </c>
      <c r="T6" s="169"/>
      <c r="U6" s="169"/>
      <c r="V6" s="170" t="str">
        <f t="shared" si="5"/>
        <v/>
      </c>
      <c r="W6" s="170" t="str">
        <f t="shared" si="6"/>
        <v/>
      </c>
      <c r="X6" s="259">
        <f t="shared" si="7"/>
        <v>0</v>
      </c>
      <c r="Y6" s="259">
        <f t="shared" si="7"/>
        <v>0</v>
      </c>
      <c r="Z6" s="259">
        <f t="shared" si="7"/>
        <v>0</v>
      </c>
      <c r="AA6" s="348">
        <f t="shared" si="8"/>
        <v>0</v>
      </c>
      <c r="AB6" s="274">
        <f t="shared" ref="AB6:AB51" si="13">AB5+R6</f>
        <v>0</v>
      </c>
      <c r="AC6" s="100"/>
      <c r="AD6" s="97"/>
      <c r="AH6" s="10"/>
    </row>
    <row r="7" spans="1:34">
      <c r="A7" s="27"/>
      <c r="B7" s="5">
        <f t="shared" si="9"/>
        <v>0</v>
      </c>
      <c r="C7" s="38">
        <f>C3+2</f>
        <v>43278</v>
      </c>
      <c r="D7" s="7">
        <f t="shared" ca="1" si="1"/>
        <v>-140</v>
      </c>
      <c r="E7" s="114" t="str">
        <f>IF(B7=0,"","Wednesday")</f>
        <v/>
      </c>
      <c r="F7" s="55"/>
      <c r="G7" s="56"/>
      <c r="H7" s="56"/>
      <c r="I7" s="200"/>
      <c r="J7" s="56"/>
      <c r="K7" s="201" t="str">
        <f t="shared" ref="K7:K11" si="14">IF(R7=0,"",IF(L7="","",J7))</f>
        <v/>
      </c>
      <c r="L7" s="56"/>
      <c r="M7" s="56" t="str">
        <f t="shared" si="10"/>
        <v/>
      </c>
      <c r="N7" s="325"/>
      <c r="O7" s="259" t="str">
        <f t="shared" si="3"/>
        <v/>
      </c>
      <c r="P7" s="260">
        <f t="shared" si="0"/>
        <v>98964.646075463708</v>
      </c>
      <c r="Q7" s="169">
        <f t="shared" si="4"/>
        <v>61.493780195049212</v>
      </c>
      <c r="R7" s="169">
        <f t="shared" si="11"/>
        <v>0</v>
      </c>
      <c r="S7" s="368" t="str">
        <f t="shared" si="12"/>
        <v/>
      </c>
      <c r="T7" s="169"/>
      <c r="U7" s="169"/>
      <c r="V7" s="170" t="str">
        <f t="shared" si="5"/>
        <v/>
      </c>
      <c r="W7" s="170" t="str">
        <f t="shared" si="6"/>
        <v/>
      </c>
      <c r="X7" s="259">
        <f t="shared" si="7"/>
        <v>0</v>
      </c>
      <c r="Y7" s="259">
        <f t="shared" si="7"/>
        <v>0</v>
      </c>
      <c r="Z7" s="259">
        <f t="shared" si="7"/>
        <v>0</v>
      </c>
      <c r="AA7" s="348">
        <f t="shared" si="8"/>
        <v>0</v>
      </c>
      <c r="AB7" s="274">
        <f t="shared" si="13"/>
        <v>0</v>
      </c>
      <c r="AC7" s="100"/>
      <c r="AD7" s="97"/>
    </row>
    <row r="8" spans="1:34">
      <c r="A8" s="27"/>
      <c r="B8" s="5">
        <f t="shared" si="9"/>
        <v>0</v>
      </c>
      <c r="C8" s="38">
        <f>C3+3</f>
        <v>43279</v>
      </c>
      <c r="D8" s="7">
        <f t="shared" ca="1" si="1"/>
        <v>-141</v>
      </c>
      <c r="E8" s="114" t="str">
        <f>IF(B8=0,"","Thursday")</f>
        <v/>
      </c>
      <c r="F8" s="55"/>
      <c r="G8" s="56"/>
      <c r="H8" s="56"/>
      <c r="I8" s="200"/>
      <c r="J8" s="56"/>
      <c r="K8" s="201" t="str">
        <f t="shared" si="14"/>
        <v/>
      </c>
      <c r="L8" s="56"/>
      <c r="M8" s="56" t="str">
        <f t="shared" si="10"/>
        <v/>
      </c>
      <c r="N8" s="325"/>
      <c r="O8" s="259" t="str">
        <f t="shared" si="3"/>
        <v/>
      </c>
      <c r="P8" s="260">
        <f t="shared" si="0"/>
        <v>98964.646075463708</v>
      </c>
      <c r="Q8" s="169">
        <f t="shared" si="4"/>
        <v>61.493780195049212</v>
      </c>
      <c r="R8" s="169">
        <f t="shared" si="11"/>
        <v>0</v>
      </c>
      <c r="S8" s="368" t="str">
        <f t="shared" si="12"/>
        <v/>
      </c>
      <c r="T8" s="169"/>
      <c r="U8" s="169"/>
      <c r="V8" s="170" t="str">
        <f t="shared" si="5"/>
        <v/>
      </c>
      <c r="W8" s="170" t="str">
        <f t="shared" si="6"/>
        <v/>
      </c>
      <c r="X8" s="259">
        <f t="shared" si="7"/>
        <v>0</v>
      </c>
      <c r="Y8" s="259">
        <f t="shared" si="7"/>
        <v>0</v>
      </c>
      <c r="Z8" s="259">
        <f t="shared" si="7"/>
        <v>0</v>
      </c>
      <c r="AA8" s="348">
        <f t="shared" si="8"/>
        <v>0</v>
      </c>
      <c r="AB8" s="274">
        <f t="shared" si="13"/>
        <v>0</v>
      </c>
      <c r="AC8" s="100"/>
      <c r="AD8" s="97"/>
    </row>
    <row r="9" spans="1:34">
      <c r="A9" s="27"/>
      <c r="B9" s="5">
        <f t="shared" si="9"/>
        <v>0</v>
      </c>
      <c r="C9" s="38">
        <f>C3+4</f>
        <v>43280</v>
      </c>
      <c r="D9" s="7">
        <f t="shared" ca="1" si="1"/>
        <v>-142</v>
      </c>
      <c r="E9" s="114" t="str">
        <f>IF(B9=0,"","Friday")</f>
        <v/>
      </c>
      <c r="F9" s="55"/>
      <c r="G9" s="56"/>
      <c r="H9" s="56"/>
      <c r="I9" s="200"/>
      <c r="J9" s="56"/>
      <c r="K9" s="201" t="str">
        <f t="shared" si="14"/>
        <v/>
      </c>
      <c r="L9" s="56"/>
      <c r="M9" s="56" t="str">
        <f t="shared" si="10"/>
        <v/>
      </c>
      <c r="N9" s="324"/>
      <c r="O9" s="259" t="str">
        <f t="shared" si="3"/>
        <v/>
      </c>
      <c r="P9" s="260">
        <f t="shared" si="0"/>
        <v>98964.646075463708</v>
      </c>
      <c r="Q9" s="169">
        <f t="shared" si="4"/>
        <v>61.493780195049212</v>
      </c>
      <c r="R9" s="169">
        <f t="shared" si="11"/>
        <v>0</v>
      </c>
      <c r="S9" s="368" t="str">
        <f t="shared" si="12"/>
        <v/>
      </c>
      <c r="T9" s="169"/>
      <c r="U9" s="169"/>
      <c r="V9" s="170" t="str">
        <f t="shared" si="5"/>
        <v/>
      </c>
      <c r="W9" s="170" t="str">
        <f t="shared" si="6"/>
        <v/>
      </c>
      <c r="X9" s="259">
        <f t="shared" si="7"/>
        <v>0</v>
      </c>
      <c r="Y9" s="259">
        <f t="shared" si="7"/>
        <v>0</v>
      </c>
      <c r="Z9" s="259">
        <f t="shared" si="7"/>
        <v>0</v>
      </c>
      <c r="AA9" s="348">
        <f t="shared" si="8"/>
        <v>0</v>
      </c>
      <c r="AB9" s="274">
        <f t="shared" si="13"/>
        <v>0</v>
      </c>
      <c r="AC9" s="100"/>
      <c r="AD9" s="97"/>
    </row>
    <row r="10" spans="1:34">
      <c r="A10" s="27"/>
      <c r="B10" s="5">
        <f t="shared" si="9"/>
        <v>0</v>
      </c>
      <c r="C10" s="38">
        <f>C3+5</f>
        <v>43281</v>
      </c>
      <c r="D10" s="7">
        <f t="shared" ca="1" si="1"/>
        <v>-143</v>
      </c>
      <c r="E10" s="114" t="str">
        <f>IF(B10=0,"","Saturday")</f>
        <v/>
      </c>
      <c r="F10" s="55"/>
      <c r="G10" s="56"/>
      <c r="H10" s="56"/>
      <c r="I10" s="200"/>
      <c r="J10" s="56"/>
      <c r="K10" s="201" t="str">
        <f t="shared" si="14"/>
        <v/>
      </c>
      <c r="L10" s="56"/>
      <c r="M10" s="56" t="str">
        <f t="shared" si="10"/>
        <v/>
      </c>
      <c r="N10" s="324"/>
      <c r="O10" s="259" t="str">
        <f t="shared" si="3"/>
        <v/>
      </c>
      <c r="P10" s="260">
        <f t="shared" si="0"/>
        <v>98964.646075463708</v>
      </c>
      <c r="Q10" s="169">
        <f t="shared" si="4"/>
        <v>61.493780195049212</v>
      </c>
      <c r="R10" s="169">
        <f t="shared" si="11"/>
        <v>0</v>
      </c>
      <c r="S10" s="368" t="str">
        <f t="shared" si="12"/>
        <v/>
      </c>
      <c r="T10" s="169"/>
      <c r="U10" s="169"/>
      <c r="V10" s="170" t="str">
        <f t="shared" si="5"/>
        <v/>
      </c>
      <c r="W10" s="170" t="str">
        <f t="shared" si="6"/>
        <v/>
      </c>
      <c r="X10" s="259">
        <f t="shared" si="7"/>
        <v>0</v>
      </c>
      <c r="Y10" s="259">
        <f t="shared" si="7"/>
        <v>0</v>
      </c>
      <c r="Z10" s="259">
        <f t="shared" si="7"/>
        <v>0</v>
      </c>
      <c r="AA10" s="348">
        <f t="shared" si="8"/>
        <v>0</v>
      </c>
      <c r="AB10" s="274">
        <f t="shared" si="13"/>
        <v>0</v>
      </c>
      <c r="AC10" s="100"/>
      <c r="AD10" s="97"/>
    </row>
    <row r="11" spans="1:34" ht="16" thickBot="1">
      <c r="A11" s="27"/>
      <c r="B11" s="53">
        <f t="shared" si="9"/>
        <v>43282</v>
      </c>
      <c r="C11" s="41">
        <f>C3+6</f>
        <v>43282</v>
      </c>
      <c r="D11" s="54">
        <f t="shared" ca="1" si="1"/>
        <v>-144</v>
      </c>
      <c r="E11" s="117" t="str">
        <f>IF(B11=0,"","Sunday")</f>
        <v>Sunday</v>
      </c>
      <c r="F11" s="55"/>
      <c r="G11" s="56"/>
      <c r="H11" s="56"/>
      <c r="I11" s="200"/>
      <c r="J11" s="56"/>
      <c r="K11" s="201" t="str">
        <f t="shared" si="14"/>
        <v/>
      </c>
      <c r="L11" s="56"/>
      <c r="M11" s="56" t="str">
        <f t="shared" si="10"/>
        <v/>
      </c>
      <c r="N11" s="326"/>
      <c r="O11" s="259">
        <f t="shared" si="3"/>
        <v>3192.548691821235</v>
      </c>
      <c r="P11" s="260">
        <f t="shared" si="0"/>
        <v>98964.646075463708</v>
      </c>
      <c r="Q11" s="169">
        <f t="shared" si="4"/>
        <v>61.493780195049212</v>
      </c>
      <c r="R11" s="169">
        <f t="shared" si="11"/>
        <v>0</v>
      </c>
      <c r="S11" s="368" t="str">
        <f t="shared" si="12"/>
        <v/>
      </c>
      <c r="T11" s="169"/>
      <c r="U11" s="169"/>
      <c r="V11" s="170" t="str">
        <f t="shared" si="5"/>
        <v/>
      </c>
      <c r="W11" s="170" t="str">
        <f t="shared" si="6"/>
        <v/>
      </c>
      <c r="X11" s="259">
        <f t="shared" si="7"/>
        <v>0</v>
      </c>
      <c r="Y11" s="259">
        <f t="shared" si="7"/>
        <v>0</v>
      </c>
      <c r="Z11" s="259">
        <f t="shared" si="7"/>
        <v>0</v>
      </c>
      <c r="AA11" s="348">
        <f t="shared" si="8"/>
        <v>0</v>
      </c>
      <c r="AB11" s="274">
        <f t="shared" si="13"/>
        <v>0</v>
      </c>
      <c r="AC11" s="100"/>
      <c r="AD11" s="97"/>
    </row>
    <row r="12" spans="1:34" ht="16" thickTop="1">
      <c r="A12" s="29"/>
      <c r="B12" s="16"/>
      <c r="C12" s="42"/>
      <c r="D12" s="60">
        <f ca="1">TODAY()-C12</f>
        <v>43138</v>
      </c>
      <c r="E12" s="113" t="s">
        <v>76</v>
      </c>
      <c r="F12" s="59">
        <f ca="1">G12*0.000568181818</f>
        <v>0</v>
      </c>
      <c r="G12" s="19">
        <f ca="1">H12*1.0936113</f>
        <v>0</v>
      </c>
      <c r="H12" s="129">
        <f ca="1">IF(TODAY()&gt;=B5,AA11*1000,-2E-55)</f>
        <v>0</v>
      </c>
      <c r="I12" s="135"/>
      <c r="J12" s="443" t="s">
        <v>121</v>
      </c>
      <c r="K12" s="444"/>
      <c r="L12" s="444"/>
      <c r="M12" s="444"/>
      <c r="N12" s="444"/>
      <c r="O12" s="259" t="str">
        <f t="shared" si="3"/>
        <v/>
      </c>
      <c r="P12" s="260"/>
      <c r="Q12" s="169">
        <f t="shared" si="4"/>
        <v>0</v>
      </c>
      <c r="R12" s="350"/>
      <c r="S12" s="368" t="str">
        <f t="shared" si="12"/>
        <v/>
      </c>
      <c r="T12" s="350"/>
      <c r="U12" s="350"/>
      <c r="V12" s="350"/>
      <c r="W12" s="350"/>
      <c r="X12" s="260"/>
      <c r="Y12" s="260"/>
      <c r="Z12" s="234"/>
      <c r="AA12" s="348">
        <f t="shared" si="8"/>
        <v>0</v>
      </c>
      <c r="AB12" s="274">
        <f t="shared" si="13"/>
        <v>0</v>
      </c>
      <c r="AC12" s="100"/>
      <c r="AD12" s="97"/>
    </row>
    <row r="13" spans="1:34" ht="16" thickBot="1">
      <c r="A13" s="28"/>
      <c r="B13" s="17"/>
      <c r="C13" s="39"/>
      <c r="D13" s="61">
        <f ca="1">TODAY()-C13</f>
        <v>43138</v>
      </c>
      <c r="E13" s="116" t="s">
        <v>33</v>
      </c>
      <c r="F13" s="62">
        <f>G13*0.0005681818</f>
        <v>1.98375409855164</v>
      </c>
      <c r="G13" s="63">
        <f>H13*1.0936113</f>
        <v>3491.4073251759205</v>
      </c>
      <c r="H13" s="130">
        <f>SUM($O5:$O11)</f>
        <v>3192.548691821235</v>
      </c>
      <c r="I13" s="136"/>
      <c r="J13" s="445" t="str">
        <f>IF(R$2=1,"MILES &amp; mph",IF(R$2=2,"YARDS &amp; mph",IF(R$2=3,"METRES &amp; km/h","????")))</f>
        <v>MILES &amp; mph</v>
      </c>
      <c r="K13" s="446"/>
      <c r="L13" s="446"/>
      <c r="M13" s="446"/>
      <c r="N13" s="446"/>
      <c r="O13" s="259" t="str">
        <f t="shared" si="3"/>
        <v/>
      </c>
      <c r="P13" s="260"/>
      <c r="Q13" s="169">
        <f t="shared" si="4"/>
        <v>0</v>
      </c>
      <c r="R13" s="351"/>
      <c r="S13" s="368" t="str">
        <f t="shared" si="12"/>
        <v/>
      </c>
      <c r="T13" s="351"/>
      <c r="U13" s="351"/>
      <c r="V13" s="351"/>
      <c r="W13" s="351"/>
      <c r="X13" s="260"/>
      <c r="Y13" s="260"/>
      <c r="Z13" s="234"/>
      <c r="AA13" s="348">
        <f t="shared" si="8"/>
        <v>0</v>
      </c>
      <c r="AB13" s="274">
        <f t="shared" si="13"/>
        <v>0</v>
      </c>
      <c r="AC13" s="100"/>
      <c r="AD13" s="97"/>
    </row>
    <row r="14" spans="1:34" ht="16" thickTop="1">
      <c r="A14" s="1" t="s">
        <v>9</v>
      </c>
      <c r="B14" s="57">
        <f t="shared" ref="B14:B20" si="15">IF(B$2&gt;C14,0,C14)</f>
        <v>43283</v>
      </c>
      <c r="C14" s="40">
        <f>C11+1</f>
        <v>43283</v>
      </c>
      <c r="D14" s="22">
        <f t="shared" ca="1" si="1"/>
        <v>-145</v>
      </c>
      <c r="E14" s="118" t="s">
        <v>1</v>
      </c>
      <c r="F14" s="55"/>
      <c r="G14" s="56"/>
      <c r="H14" s="56"/>
      <c r="I14" s="136"/>
      <c r="J14" s="128"/>
      <c r="K14" s="201" t="str">
        <f t="shared" ref="K14" si="16">IF(R14=0,"",IF(L14="","",J14))</f>
        <v/>
      </c>
      <c r="L14" s="128"/>
      <c r="M14" s="56" t="str">
        <f>IF(R14=0,"",IF(J14="","",L14))</f>
        <v/>
      </c>
      <c r="N14" s="327"/>
      <c r="O14" s="259">
        <f t="shared" si="3"/>
        <v>3192.548691821235</v>
      </c>
      <c r="P14" s="260">
        <f t="shared" ref="P14:P20" si="17">H$56</f>
        <v>98964.646075463708</v>
      </c>
      <c r="Q14" s="169">
        <f t="shared" si="4"/>
        <v>61.493780195049212</v>
      </c>
      <c r="R14" s="169">
        <f>IF(R$2=3,H14+G14/1.0936133+F14/0.0006213712,IF(R$2=2,H14*1.0936133+G14+F14/0.0005681818,IF(R$2=1,H14*0.0005681818*1.0936133+G14*0.0005681818+F14,"")))</f>
        <v>0</v>
      </c>
      <c r="S14" s="368" t="str">
        <f t="shared" si="12"/>
        <v/>
      </c>
      <c r="T14" s="169"/>
      <c r="U14" s="169"/>
      <c r="V14" s="170" t="str">
        <f t="shared" ref="V14:V20" si="18">IF(L14="","",IF(R14=0,"",IF(B14=0,"",IF($R$2=3,R14/L14*60/1000,IF($R$2=2,R14/L14*60/1760,IF($R$2=1,R14/L14*60,""))))))</f>
        <v/>
      </c>
      <c r="W14" s="170" t="str">
        <f t="shared" ref="W14:W20" si="19">IF(R14=0,"",IF(L14="","",V14*L14))</f>
        <v/>
      </c>
      <c r="X14" s="259">
        <f>F14+X11</f>
        <v>0</v>
      </c>
      <c r="Y14" s="259">
        <f>G14+Y11</f>
        <v>0</v>
      </c>
      <c r="Z14" s="259">
        <f>H14+Z11</f>
        <v>0</v>
      </c>
      <c r="AA14" s="348">
        <f t="shared" si="8"/>
        <v>0</v>
      </c>
      <c r="AB14" s="274">
        <f t="shared" si="13"/>
        <v>0</v>
      </c>
      <c r="AC14" s="100"/>
      <c r="AD14" s="97"/>
    </row>
    <row r="15" spans="1:34">
      <c r="A15" s="1"/>
      <c r="B15" s="5">
        <f t="shared" si="15"/>
        <v>43284</v>
      </c>
      <c r="C15" s="38">
        <f t="shared" ref="C15:C20" si="20">C14+1</f>
        <v>43284</v>
      </c>
      <c r="D15" s="7">
        <f t="shared" ca="1" si="1"/>
        <v>-146</v>
      </c>
      <c r="E15" s="114" t="s">
        <v>2</v>
      </c>
      <c r="F15" s="55"/>
      <c r="G15" s="56"/>
      <c r="H15" s="56"/>
      <c r="I15" s="200"/>
      <c r="J15" s="56"/>
      <c r="K15" s="201" t="str">
        <f>IF(R15=0,"",IF(L15="","",J15))</f>
        <v/>
      </c>
      <c r="L15" s="56"/>
      <c r="M15" s="56" t="str">
        <f t="shared" ref="M15:M20" si="21">IF(R15=0,"",IF(J15="","",L15))</f>
        <v/>
      </c>
      <c r="N15" s="328"/>
      <c r="O15" s="259">
        <f t="shared" si="3"/>
        <v>3192.548691821235</v>
      </c>
      <c r="P15" s="260">
        <f t="shared" si="17"/>
        <v>98964.646075463708</v>
      </c>
      <c r="Q15" s="169">
        <f t="shared" si="4"/>
        <v>61.493780195049212</v>
      </c>
      <c r="R15" s="169">
        <f t="shared" ref="R15:R20" si="22">IF(R$2=3,H15+G15/1.0936133+F15/0.0006213712,IF(R$2=2,H15*1.0936133+G15+F15/0.0005681818,IF(R$2=1,H15*0.0005681818*1.0936133+G15*0.0005681818+F15,"")))</f>
        <v>0</v>
      </c>
      <c r="S15" s="368" t="str">
        <f t="shared" si="12"/>
        <v/>
      </c>
      <c r="T15" s="169"/>
      <c r="U15" s="169"/>
      <c r="V15" s="170" t="str">
        <f t="shared" si="18"/>
        <v/>
      </c>
      <c r="W15" s="170" t="str">
        <f t="shared" si="19"/>
        <v/>
      </c>
      <c r="X15" s="259">
        <f t="shared" ref="X15:Z20" si="23">F15+X14</f>
        <v>0</v>
      </c>
      <c r="Y15" s="259">
        <f t="shared" si="23"/>
        <v>0</v>
      </c>
      <c r="Z15" s="259">
        <f t="shared" si="23"/>
        <v>0</v>
      </c>
      <c r="AA15" s="348">
        <f t="shared" si="8"/>
        <v>0</v>
      </c>
      <c r="AB15" s="274">
        <f t="shared" si="13"/>
        <v>0</v>
      </c>
      <c r="AC15" s="100"/>
      <c r="AD15" s="97"/>
    </row>
    <row r="16" spans="1:34">
      <c r="A16" s="1"/>
      <c r="B16" s="5">
        <f t="shared" si="15"/>
        <v>43285</v>
      </c>
      <c r="C16" s="38">
        <f t="shared" si="20"/>
        <v>43285</v>
      </c>
      <c r="D16" s="7">
        <f t="shared" ca="1" si="1"/>
        <v>-147</v>
      </c>
      <c r="E16" s="114" t="s">
        <v>3</v>
      </c>
      <c r="F16" s="55"/>
      <c r="G16" s="56"/>
      <c r="H16" s="56"/>
      <c r="I16" s="200"/>
      <c r="J16" s="56"/>
      <c r="K16" s="201" t="str">
        <f t="shared" ref="K16:K20" si="24">IF(R16=0,"",IF(L16="","",J16))</f>
        <v/>
      </c>
      <c r="L16" s="56"/>
      <c r="M16" s="56" t="str">
        <f t="shared" si="21"/>
        <v/>
      </c>
      <c r="N16" s="328"/>
      <c r="O16" s="259">
        <f t="shared" si="3"/>
        <v>3192.548691821235</v>
      </c>
      <c r="P16" s="260">
        <f t="shared" si="17"/>
        <v>98964.646075463708</v>
      </c>
      <c r="Q16" s="169">
        <f t="shared" si="4"/>
        <v>61.493780195049212</v>
      </c>
      <c r="R16" s="169">
        <f t="shared" si="22"/>
        <v>0</v>
      </c>
      <c r="S16" s="368" t="str">
        <f t="shared" si="12"/>
        <v/>
      </c>
      <c r="T16" s="169"/>
      <c r="U16" s="169"/>
      <c r="V16" s="170" t="str">
        <f t="shared" si="18"/>
        <v/>
      </c>
      <c r="W16" s="170" t="str">
        <f t="shared" si="19"/>
        <v/>
      </c>
      <c r="X16" s="259">
        <f t="shared" si="23"/>
        <v>0</v>
      </c>
      <c r="Y16" s="259">
        <f t="shared" si="23"/>
        <v>0</v>
      </c>
      <c r="Z16" s="259">
        <f t="shared" si="23"/>
        <v>0</v>
      </c>
      <c r="AA16" s="348">
        <f t="shared" si="8"/>
        <v>0</v>
      </c>
      <c r="AB16" s="274">
        <f t="shared" si="13"/>
        <v>0</v>
      </c>
      <c r="AC16" s="100"/>
      <c r="AD16" s="97"/>
    </row>
    <row r="17" spans="1:30">
      <c r="A17" s="1"/>
      <c r="B17" s="5">
        <f t="shared" si="15"/>
        <v>43286</v>
      </c>
      <c r="C17" s="38">
        <f t="shared" si="20"/>
        <v>43286</v>
      </c>
      <c r="D17" s="7">
        <f t="shared" ca="1" si="1"/>
        <v>-148</v>
      </c>
      <c r="E17" s="114" t="s">
        <v>4</v>
      </c>
      <c r="F17" s="55"/>
      <c r="G17" s="56"/>
      <c r="H17" s="56"/>
      <c r="I17" s="200"/>
      <c r="J17" s="56"/>
      <c r="K17" s="201" t="str">
        <f t="shared" si="24"/>
        <v/>
      </c>
      <c r="L17" s="56"/>
      <c r="M17" s="56" t="str">
        <f t="shared" si="21"/>
        <v/>
      </c>
      <c r="N17" s="328"/>
      <c r="O17" s="259">
        <f t="shared" si="3"/>
        <v>3192.548691821235</v>
      </c>
      <c r="P17" s="260">
        <f t="shared" si="17"/>
        <v>98964.646075463708</v>
      </c>
      <c r="Q17" s="169">
        <f t="shared" si="4"/>
        <v>61.493780195049212</v>
      </c>
      <c r="R17" s="169">
        <f t="shared" si="22"/>
        <v>0</v>
      </c>
      <c r="S17" s="368" t="str">
        <f t="shared" si="12"/>
        <v/>
      </c>
      <c r="T17" s="169"/>
      <c r="U17" s="169"/>
      <c r="V17" s="170" t="str">
        <f t="shared" si="18"/>
        <v/>
      </c>
      <c r="W17" s="170" t="str">
        <f t="shared" si="19"/>
        <v/>
      </c>
      <c r="X17" s="259">
        <f t="shared" si="23"/>
        <v>0</v>
      </c>
      <c r="Y17" s="259">
        <f t="shared" si="23"/>
        <v>0</v>
      </c>
      <c r="Z17" s="259">
        <f t="shared" si="23"/>
        <v>0</v>
      </c>
      <c r="AA17" s="348">
        <f t="shared" si="8"/>
        <v>0</v>
      </c>
      <c r="AB17" s="274">
        <f t="shared" si="13"/>
        <v>0</v>
      </c>
      <c r="AC17" s="100"/>
      <c r="AD17" s="97"/>
    </row>
    <row r="18" spans="1:30">
      <c r="A18" s="1"/>
      <c r="B18" s="5">
        <f t="shared" si="15"/>
        <v>43287</v>
      </c>
      <c r="C18" s="38">
        <f t="shared" si="20"/>
        <v>43287</v>
      </c>
      <c r="D18" s="7">
        <f t="shared" ca="1" si="1"/>
        <v>-149</v>
      </c>
      <c r="E18" s="114" t="s">
        <v>5</v>
      </c>
      <c r="F18" s="55"/>
      <c r="G18" s="56"/>
      <c r="H18" s="56"/>
      <c r="I18" s="200"/>
      <c r="J18" s="56"/>
      <c r="K18" s="201" t="str">
        <f t="shared" si="24"/>
        <v/>
      </c>
      <c r="L18" s="56"/>
      <c r="M18" s="56" t="str">
        <f t="shared" si="21"/>
        <v/>
      </c>
      <c r="N18" s="324"/>
      <c r="O18" s="259">
        <f t="shared" si="3"/>
        <v>3192.548691821235</v>
      </c>
      <c r="P18" s="260">
        <f t="shared" si="17"/>
        <v>98964.646075463708</v>
      </c>
      <c r="Q18" s="169">
        <f t="shared" si="4"/>
        <v>61.493780195049212</v>
      </c>
      <c r="R18" s="169">
        <f t="shared" si="22"/>
        <v>0</v>
      </c>
      <c r="S18" s="368" t="str">
        <f t="shared" si="12"/>
        <v/>
      </c>
      <c r="T18" s="169"/>
      <c r="U18" s="169"/>
      <c r="V18" s="170" t="str">
        <f t="shared" si="18"/>
        <v/>
      </c>
      <c r="W18" s="170" t="str">
        <f t="shared" si="19"/>
        <v/>
      </c>
      <c r="X18" s="259">
        <f t="shared" si="23"/>
        <v>0</v>
      </c>
      <c r="Y18" s="259">
        <f t="shared" si="23"/>
        <v>0</v>
      </c>
      <c r="Z18" s="259">
        <f t="shared" si="23"/>
        <v>0</v>
      </c>
      <c r="AA18" s="348">
        <f t="shared" si="8"/>
        <v>0</v>
      </c>
      <c r="AB18" s="274">
        <f t="shared" si="13"/>
        <v>0</v>
      </c>
      <c r="AC18" s="100"/>
      <c r="AD18" s="97"/>
    </row>
    <row r="19" spans="1:30">
      <c r="A19" s="1"/>
      <c r="B19" s="5">
        <f t="shared" si="15"/>
        <v>43288</v>
      </c>
      <c r="C19" s="38">
        <f t="shared" si="20"/>
        <v>43288</v>
      </c>
      <c r="D19" s="7">
        <f t="shared" ca="1" si="1"/>
        <v>-150</v>
      </c>
      <c r="E19" s="114" t="s">
        <v>6</v>
      </c>
      <c r="F19" s="55"/>
      <c r="G19" s="56"/>
      <c r="H19" s="56"/>
      <c r="I19" s="200"/>
      <c r="J19" s="56"/>
      <c r="K19" s="201" t="str">
        <f t="shared" si="24"/>
        <v/>
      </c>
      <c r="L19" s="56"/>
      <c r="M19" s="56" t="str">
        <f t="shared" si="21"/>
        <v/>
      </c>
      <c r="N19" s="324"/>
      <c r="O19" s="259">
        <f t="shared" si="3"/>
        <v>3192.548691821235</v>
      </c>
      <c r="P19" s="260">
        <f t="shared" si="17"/>
        <v>98964.646075463708</v>
      </c>
      <c r="Q19" s="169">
        <f t="shared" si="4"/>
        <v>61.493780195049212</v>
      </c>
      <c r="R19" s="169">
        <f t="shared" si="22"/>
        <v>0</v>
      </c>
      <c r="S19" s="368" t="str">
        <f t="shared" si="12"/>
        <v/>
      </c>
      <c r="T19" s="169"/>
      <c r="U19" s="169"/>
      <c r="V19" s="170" t="str">
        <f t="shared" si="18"/>
        <v/>
      </c>
      <c r="W19" s="170" t="str">
        <f t="shared" si="19"/>
        <v/>
      </c>
      <c r="X19" s="259">
        <f t="shared" si="23"/>
        <v>0</v>
      </c>
      <c r="Y19" s="259">
        <f t="shared" si="23"/>
        <v>0</v>
      </c>
      <c r="Z19" s="259">
        <f t="shared" si="23"/>
        <v>0</v>
      </c>
      <c r="AA19" s="348">
        <f t="shared" si="8"/>
        <v>0</v>
      </c>
      <c r="AB19" s="274">
        <f t="shared" si="13"/>
        <v>0</v>
      </c>
      <c r="AC19" s="100"/>
      <c r="AD19" s="97"/>
    </row>
    <row r="20" spans="1:30" ht="16" thickBot="1">
      <c r="A20" s="1"/>
      <c r="B20" s="53">
        <f t="shared" si="15"/>
        <v>43289</v>
      </c>
      <c r="C20" s="41">
        <f t="shared" si="20"/>
        <v>43289</v>
      </c>
      <c r="D20" s="54">
        <f t="shared" ca="1" si="1"/>
        <v>-151</v>
      </c>
      <c r="E20" s="117" t="s">
        <v>7</v>
      </c>
      <c r="F20" s="55"/>
      <c r="G20" s="56"/>
      <c r="H20" s="56"/>
      <c r="I20" s="200"/>
      <c r="J20" s="56"/>
      <c r="K20" s="201" t="str">
        <f t="shared" si="24"/>
        <v/>
      </c>
      <c r="L20" s="56"/>
      <c r="M20" s="56" t="str">
        <f t="shared" si="21"/>
        <v/>
      </c>
      <c r="N20" s="329"/>
      <c r="O20" s="259">
        <f t="shared" si="3"/>
        <v>3192.548691821235</v>
      </c>
      <c r="P20" s="260">
        <f t="shared" si="17"/>
        <v>98964.646075463708</v>
      </c>
      <c r="Q20" s="169">
        <f t="shared" si="4"/>
        <v>61.493780195049212</v>
      </c>
      <c r="R20" s="169">
        <f t="shared" si="22"/>
        <v>0</v>
      </c>
      <c r="S20" s="368" t="str">
        <f t="shared" si="12"/>
        <v/>
      </c>
      <c r="T20" s="169"/>
      <c r="U20" s="169"/>
      <c r="V20" s="170" t="str">
        <f t="shared" si="18"/>
        <v/>
      </c>
      <c r="W20" s="170" t="str">
        <f t="shared" si="19"/>
        <v/>
      </c>
      <c r="X20" s="259">
        <f t="shared" si="23"/>
        <v>0</v>
      </c>
      <c r="Y20" s="259">
        <f t="shared" si="23"/>
        <v>0</v>
      </c>
      <c r="Z20" s="259">
        <f t="shared" si="23"/>
        <v>0</v>
      </c>
      <c r="AA20" s="348">
        <f t="shared" si="8"/>
        <v>0</v>
      </c>
      <c r="AB20" s="274">
        <f t="shared" si="13"/>
        <v>0</v>
      </c>
      <c r="AC20" s="100"/>
      <c r="AD20" s="97"/>
    </row>
    <row r="21" spans="1:30" ht="16" thickTop="1">
      <c r="A21" s="29"/>
      <c r="B21" s="16"/>
      <c r="C21" s="42"/>
      <c r="D21" s="60">
        <f ca="1">TODAY()-C21</f>
        <v>43138</v>
      </c>
      <c r="E21" s="113" t="s">
        <v>76</v>
      </c>
      <c r="F21" s="59">
        <f ca="1">G21*0.000568181818</f>
        <v>-1.2427401132386871E-58</v>
      </c>
      <c r="G21" s="19">
        <f ca="1">H21*1.0936113</f>
        <v>-2.1872226000000002E-55</v>
      </c>
      <c r="H21" s="129">
        <f ca="1">IF(TODAY()&gt;=B14,(AA20-AA11)*1000,-2E-55)</f>
        <v>-2E-55</v>
      </c>
      <c r="I21" s="152"/>
      <c r="J21" s="447" t="str">
        <f>IF(R21=0,"",#REF!)</f>
        <v/>
      </c>
      <c r="K21" s="448"/>
      <c r="L21" s="448"/>
      <c r="M21" s="448"/>
      <c r="N21" s="448"/>
      <c r="O21" s="259" t="str">
        <f t="shared" si="3"/>
        <v/>
      </c>
      <c r="P21" s="260"/>
      <c r="Q21" s="169">
        <f t="shared" si="4"/>
        <v>0</v>
      </c>
      <c r="R21" s="350"/>
      <c r="S21" s="368" t="str">
        <f t="shared" si="12"/>
        <v/>
      </c>
      <c r="T21" s="350"/>
      <c r="U21" s="350"/>
      <c r="V21" s="350"/>
      <c r="W21" s="350"/>
      <c r="X21" s="234"/>
      <c r="Y21" s="234"/>
      <c r="Z21" s="234"/>
      <c r="AA21" s="348">
        <f t="shared" si="8"/>
        <v>0</v>
      </c>
      <c r="AB21" s="274">
        <f t="shared" si="13"/>
        <v>0</v>
      </c>
      <c r="AC21" s="100"/>
      <c r="AD21" s="97"/>
    </row>
    <row r="22" spans="1:30" ht="16" thickBot="1">
      <c r="A22" s="28"/>
      <c r="B22" s="17"/>
      <c r="C22" s="39"/>
      <c r="D22" s="61">
        <f ca="1">TODAY()-C22</f>
        <v>43138</v>
      </c>
      <c r="E22" s="116" t="s">
        <v>33</v>
      </c>
      <c r="F22" s="62">
        <f>G22*0.0005681818</f>
        <v>13.885756215371698</v>
      </c>
      <c r="G22" s="63">
        <f>H22*1.0936113</f>
        <v>24438.931721100002</v>
      </c>
      <c r="H22" s="131">
        <f>INT(SUM($O14:$O20))</f>
        <v>22347</v>
      </c>
      <c r="I22" s="153"/>
      <c r="J22" s="449"/>
      <c r="K22" s="451"/>
      <c r="L22" s="451"/>
      <c r="M22" s="451"/>
      <c r="N22" s="451"/>
      <c r="O22" s="259" t="str">
        <f t="shared" si="3"/>
        <v/>
      </c>
      <c r="P22" s="260"/>
      <c r="Q22" s="169">
        <f t="shared" si="4"/>
        <v>0</v>
      </c>
      <c r="R22" s="351"/>
      <c r="S22" s="368" t="str">
        <f t="shared" si="12"/>
        <v/>
      </c>
      <c r="T22" s="351"/>
      <c r="U22" s="351"/>
      <c r="V22" s="351"/>
      <c r="W22" s="351"/>
      <c r="X22" s="234"/>
      <c r="Y22" s="234"/>
      <c r="Z22" s="234"/>
      <c r="AA22" s="348">
        <f t="shared" si="8"/>
        <v>0</v>
      </c>
      <c r="AB22" s="274">
        <f t="shared" si="13"/>
        <v>0</v>
      </c>
      <c r="AC22" s="100"/>
      <c r="AD22" s="97"/>
    </row>
    <row r="23" spans="1:30" ht="16" thickTop="1">
      <c r="A23" s="1" t="s">
        <v>10</v>
      </c>
      <c r="B23" s="57">
        <f t="shared" ref="B23:B29" si="25">IF(B$2&gt;C23,0,C23)</f>
        <v>43290</v>
      </c>
      <c r="C23" s="40">
        <f>C20+1</f>
        <v>43290</v>
      </c>
      <c r="D23" s="22">
        <f t="shared" ca="1" si="1"/>
        <v>-152</v>
      </c>
      <c r="E23" s="118" t="s">
        <v>1</v>
      </c>
      <c r="F23" s="55"/>
      <c r="G23" s="56"/>
      <c r="H23" s="56"/>
      <c r="I23" s="200"/>
      <c r="J23" s="128"/>
      <c r="K23" s="201" t="str">
        <f t="shared" ref="K23" si="26">IF(R23=0,"",IF(L23="","",J23))</f>
        <v/>
      </c>
      <c r="L23" s="128"/>
      <c r="M23" s="56" t="str">
        <f>IF(R23=0,"",IF(J23="","",L23))</f>
        <v/>
      </c>
      <c r="N23" s="330"/>
      <c r="O23" s="259">
        <f t="shared" si="3"/>
        <v>3192.548691821235</v>
      </c>
      <c r="P23" s="260">
        <f t="shared" ref="P23:P29" si="27">H$56</f>
        <v>98964.646075463708</v>
      </c>
      <c r="Q23" s="169">
        <f t="shared" si="4"/>
        <v>61.493780195049212</v>
      </c>
      <c r="R23" s="169">
        <f>IF(R$2=3,H23+G23/1.0936133+F23/0.0006213712,IF(R$2=2,H23*1.0936133+G23+F23/0.0005681818,IF(R$2=1,H23*0.0005681818*1.0936133+G23*0.0005681818+F23,"")))</f>
        <v>0</v>
      </c>
      <c r="S23" s="368" t="str">
        <f t="shared" si="12"/>
        <v/>
      </c>
      <c r="T23" s="169"/>
      <c r="U23" s="169"/>
      <c r="V23" s="170" t="str">
        <f t="shared" ref="V23:V29" si="28">IF(L23="","",IF(R23=0,"",IF(B23=0,"",IF($R$2=3,R23/L23*60/1000,IF($R$2=2,R23/L23*60/1760,IF($R$2=1,R23/L23*60,""))))))</f>
        <v/>
      </c>
      <c r="W23" s="170" t="str">
        <f t="shared" ref="W23:W29" si="29">IF(R23=0,"",IF(L23="","",V23*L23))</f>
        <v/>
      </c>
      <c r="X23" s="259">
        <f>F23+X20</f>
        <v>0</v>
      </c>
      <c r="Y23" s="259">
        <f>G23+Y20</f>
        <v>0</v>
      </c>
      <c r="Z23" s="259">
        <f>H23+Z20</f>
        <v>0</v>
      </c>
      <c r="AA23" s="348">
        <f t="shared" si="8"/>
        <v>0</v>
      </c>
      <c r="AB23" s="274">
        <f t="shared" si="13"/>
        <v>0</v>
      </c>
      <c r="AC23" s="100"/>
      <c r="AD23" s="97"/>
    </row>
    <row r="24" spans="1:30">
      <c r="A24" s="1"/>
      <c r="B24" s="5">
        <f t="shared" si="25"/>
        <v>43291</v>
      </c>
      <c r="C24" s="38">
        <f t="shared" ref="C24:C29" si="30">C23+1</f>
        <v>43291</v>
      </c>
      <c r="D24" s="7">
        <f t="shared" ca="1" si="1"/>
        <v>-153</v>
      </c>
      <c r="E24" s="114" t="s">
        <v>2</v>
      </c>
      <c r="F24" s="55"/>
      <c r="G24" s="56"/>
      <c r="H24" s="56"/>
      <c r="I24" s="200"/>
      <c r="J24" s="56"/>
      <c r="K24" s="201" t="str">
        <f>IF(R24=0,"",IF(L24="","",J24))</f>
        <v/>
      </c>
      <c r="L24" s="56"/>
      <c r="M24" s="56" t="str">
        <f t="shared" ref="M24:M29" si="31">IF(R24=0,"",IF(J24="","",L24))</f>
        <v/>
      </c>
      <c r="N24" s="324"/>
      <c r="O24" s="259">
        <f t="shared" si="3"/>
        <v>3192.548691821235</v>
      </c>
      <c r="P24" s="260">
        <f t="shared" si="27"/>
        <v>98964.646075463708</v>
      </c>
      <c r="Q24" s="169">
        <f t="shared" si="4"/>
        <v>61.493780195049212</v>
      </c>
      <c r="R24" s="169">
        <f t="shared" ref="R24:R29" si="32">IF(R$2=3,H24+G24/1.0936133+F24/0.0006213712,IF(R$2=2,H24*1.0936133+G24+F24/0.0005681818,IF(R$2=1,H24*0.0005681818*1.0936133+G24*0.0005681818+F24,"")))</f>
        <v>0</v>
      </c>
      <c r="S24" s="368" t="str">
        <f t="shared" si="12"/>
        <v/>
      </c>
      <c r="T24" s="169"/>
      <c r="U24" s="169"/>
      <c r="V24" s="170" t="str">
        <f t="shared" si="28"/>
        <v/>
      </c>
      <c r="W24" s="170" t="str">
        <f t="shared" si="29"/>
        <v/>
      </c>
      <c r="X24" s="259">
        <f t="shared" ref="X24:Z29" si="33">F24+X23</f>
        <v>0</v>
      </c>
      <c r="Y24" s="259">
        <f t="shared" si="33"/>
        <v>0</v>
      </c>
      <c r="Z24" s="259">
        <f t="shared" si="33"/>
        <v>0</v>
      </c>
      <c r="AA24" s="348">
        <f t="shared" si="8"/>
        <v>0</v>
      </c>
      <c r="AB24" s="274">
        <f t="shared" si="13"/>
        <v>0</v>
      </c>
      <c r="AC24" s="100"/>
      <c r="AD24" s="97"/>
    </row>
    <row r="25" spans="1:30">
      <c r="A25" s="1"/>
      <c r="B25" s="5">
        <f t="shared" si="25"/>
        <v>43292</v>
      </c>
      <c r="C25" s="38">
        <f t="shared" si="30"/>
        <v>43292</v>
      </c>
      <c r="D25" s="7">
        <f t="shared" ca="1" si="1"/>
        <v>-154</v>
      </c>
      <c r="E25" s="114" t="s">
        <v>3</v>
      </c>
      <c r="F25" s="55"/>
      <c r="G25" s="56"/>
      <c r="H25" s="56"/>
      <c r="I25" s="200"/>
      <c r="J25" s="56"/>
      <c r="K25" s="201" t="str">
        <f t="shared" ref="K25:K29" si="34">IF(R25=0,"",IF(L25="","",J25))</f>
        <v/>
      </c>
      <c r="L25" s="56"/>
      <c r="M25" s="56" t="str">
        <f t="shared" si="31"/>
        <v/>
      </c>
      <c r="N25" s="324"/>
      <c r="O25" s="259">
        <f t="shared" si="3"/>
        <v>3192.548691821235</v>
      </c>
      <c r="P25" s="260">
        <f t="shared" si="27"/>
        <v>98964.646075463708</v>
      </c>
      <c r="Q25" s="169">
        <f t="shared" si="4"/>
        <v>61.493780195049212</v>
      </c>
      <c r="R25" s="169">
        <f t="shared" si="32"/>
        <v>0</v>
      </c>
      <c r="S25" s="368" t="str">
        <f t="shared" si="12"/>
        <v/>
      </c>
      <c r="T25" s="169"/>
      <c r="U25" s="169"/>
      <c r="V25" s="170" t="str">
        <f t="shared" si="28"/>
        <v/>
      </c>
      <c r="W25" s="170" t="str">
        <f t="shared" si="29"/>
        <v/>
      </c>
      <c r="X25" s="259">
        <f t="shared" si="33"/>
        <v>0</v>
      </c>
      <c r="Y25" s="259">
        <f t="shared" si="33"/>
        <v>0</v>
      </c>
      <c r="Z25" s="259">
        <f t="shared" si="33"/>
        <v>0</v>
      </c>
      <c r="AA25" s="348">
        <f t="shared" si="8"/>
        <v>0</v>
      </c>
      <c r="AB25" s="274">
        <f t="shared" si="13"/>
        <v>0</v>
      </c>
      <c r="AC25" s="100"/>
      <c r="AD25" s="97"/>
    </row>
    <row r="26" spans="1:30">
      <c r="A26" s="1"/>
      <c r="B26" s="5">
        <f t="shared" si="25"/>
        <v>43293</v>
      </c>
      <c r="C26" s="38">
        <f t="shared" si="30"/>
        <v>43293</v>
      </c>
      <c r="D26" s="7">
        <f t="shared" ca="1" si="1"/>
        <v>-155</v>
      </c>
      <c r="E26" s="114" t="s">
        <v>4</v>
      </c>
      <c r="F26" s="55"/>
      <c r="G26" s="56"/>
      <c r="H26" s="56"/>
      <c r="I26" s="200"/>
      <c r="J26" s="56"/>
      <c r="K26" s="201" t="str">
        <f t="shared" si="34"/>
        <v/>
      </c>
      <c r="L26" s="56"/>
      <c r="M26" s="56" t="str">
        <f t="shared" si="31"/>
        <v/>
      </c>
      <c r="N26" s="324"/>
      <c r="O26" s="259">
        <f t="shared" si="3"/>
        <v>3192.548691821235</v>
      </c>
      <c r="P26" s="260">
        <f t="shared" si="27"/>
        <v>98964.646075463708</v>
      </c>
      <c r="Q26" s="169">
        <f t="shared" si="4"/>
        <v>61.493780195049212</v>
      </c>
      <c r="R26" s="169">
        <f t="shared" si="32"/>
        <v>0</v>
      </c>
      <c r="S26" s="368" t="str">
        <f t="shared" si="12"/>
        <v/>
      </c>
      <c r="T26" s="169"/>
      <c r="U26" s="169"/>
      <c r="V26" s="170" t="str">
        <f t="shared" si="28"/>
        <v/>
      </c>
      <c r="W26" s="170" t="str">
        <f t="shared" si="29"/>
        <v/>
      </c>
      <c r="X26" s="259">
        <f t="shared" si="33"/>
        <v>0</v>
      </c>
      <c r="Y26" s="259">
        <f t="shared" si="33"/>
        <v>0</v>
      </c>
      <c r="Z26" s="259">
        <f t="shared" si="33"/>
        <v>0</v>
      </c>
      <c r="AA26" s="348">
        <f t="shared" si="8"/>
        <v>0</v>
      </c>
      <c r="AB26" s="274">
        <f t="shared" si="13"/>
        <v>0</v>
      </c>
      <c r="AC26" s="100"/>
      <c r="AD26" s="97"/>
    </row>
    <row r="27" spans="1:30">
      <c r="A27" s="1"/>
      <c r="B27" s="5">
        <f t="shared" si="25"/>
        <v>43294</v>
      </c>
      <c r="C27" s="38">
        <f t="shared" si="30"/>
        <v>43294</v>
      </c>
      <c r="D27" s="7">
        <f t="shared" ca="1" si="1"/>
        <v>-156</v>
      </c>
      <c r="E27" s="114" t="s">
        <v>5</v>
      </c>
      <c r="F27" s="55"/>
      <c r="G27" s="56"/>
      <c r="H27" s="56"/>
      <c r="I27" s="200"/>
      <c r="J27" s="56"/>
      <c r="K27" s="201" t="str">
        <f t="shared" si="34"/>
        <v/>
      </c>
      <c r="L27" s="56"/>
      <c r="M27" s="56" t="str">
        <f t="shared" si="31"/>
        <v/>
      </c>
      <c r="N27" s="324"/>
      <c r="O27" s="259">
        <f t="shared" si="3"/>
        <v>3192.548691821235</v>
      </c>
      <c r="P27" s="260">
        <f t="shared" si="27"/>
        <v>98964.646075463708</v>
      </c>
      <c r="Q27" s="169">
        <f t="shared" si="4"/>
        <v>61.493780195049212</v>
      </c>
      <c r="R27" s="169">
        <f t="shared" si="32"/>
        <v>0</v>
      </c>
      <c r="S27" s="368" t="str">
        <f t="shared" si="12"/>
        <v/>
      </c>
      <c r="T27" s="169"/>
      <c r="U27" s="169"/>
      <c r="V27" s="170" t="str">
        <f t="shared" si="28"/>
        <v/>
      </c>
      <c r="W27" s="170" t="str">
        <f t="shared" si="29"/>
        <v/>
      </c>
      <c r="X27" s="259">
        <f t="shared" si="33"/>
        <v>0</v>
      </c>
      <c r="Y27" s="259">
        <f t="shared" si="33"/>
        <v>0</v>
      </c>
      <c r="Z27" s="259">
        <f t="shared" si="33"/>
        <v>0</v>
      </c>
      <c r="AA27" s="348">
        <f t="shared" si="8"/>
        <v>0</v>
      </c>
      <c r="AB27" s="274">
        <f t="shared" si="13"/>
        <v>0</v>
      </c>
      <c r="AC27" s="100"/>
      <c r="AD27" s="97"/>
    </row>
    <row r="28" spans="1:30">
      <c r="A28" s="1"/>
      <c r="B28" s="5">
        <f t="shared" si="25"/>
        <v>43295</v>
      </c>
      <c r="C28" s="38">
        <f t="shared" si="30"/>
        <v>43295</v>
      </c>
      <c r="D28" s="7">
        <f t="shared" ca="1" si="1"/>
        <v>-157</v>
      </c>
      <c r="E28" s="114" t="s">
        <v>6</v>
      </c>
      <c r="F28" s="55"/>
      <c r="G28" s="56"/>
      <c r="H28" s="56"/>
      <c r="I28" s="200"/>
      <c r="J28" s="56"/>
      <c r="K28" s="201" t="str">
        <f t="shared" si="34"/>
        <v/>
      </c>
      <c r="L28" s="56"/>
      <c r="M28" s="56" t="str">
        <f t="shared" si="31"/>
        <v/>
      </c>
      <c r="N28" s="324"/>
      <c r="O28" s="259">
        <f t="shared" si="3"/>
        <v>3192.548691821235</v>
      </c>
      <c r="P28" s="260">
        <f t="shared" si="27"/>
        <v>98964.646075463708</v>
      </c>
      <c r="Q28" s="169">
        <f t="shared" si="4"/>
        <v>61.493780195049212</v>
      </c>
      <c r="R28" s="169">
        <f t="shared" si="32"/>
        <v>0</v>
      </c>
      <c r="S28" s="368" t="str">
        <f t="shared" si="12"/>
        <v/>
      </c>
      <c r="T28" s="169"/>
      <c r="U28" s="169"/>
      <c r="V28" s="170" t="str">
        <f t="shared" si="28"/>
        <v/>
      </c>
      <c r="W28" s="170" t="str">
        <f t="shared" si="29"/>
        <v/>
      </c>
      <c r="X28" s="259">
        <f t="shared" si="33"/>
        <v>0</v>
      </c>
      <c r="Y28" s="259">
        <f t="shared" si="33"/>
        <v>0</v>
      </c>
      <c r="Z28" s="259">
        <f t="shared" si="33"/>
        <v>0</v>
      </c>
      <c r="AA28" s="348">
        <f t="shared" si="8"/>
        <v>0</v>
      </c>
      <c r="AB28" s="274">
        <f t="shared" si="13"/>
        <v>0</v>
      </c>
      <c r="AC28" s="100"/>
      <c r="AD28" s="97"/>
    </row>
    <row r="29" spans="1:30" ht="16" thickBot="1">
      <c r="A29" s="1"/>
      <c r="B29" s="53">
        <f t="shared" si="25"/>
        <v>43296</v>
      </c>
      <c r="C29" s="41">
        <f t="shared" si="30"/>
        <v>43296</v>
      </c>
      <c r="D29" s="54">
        <f t="shared" ca="1" si="1"/>
        <v>-158</v>
      </c>
      <c r="E29" s="117" t="s">
        <v>7</v>
      </c>
      <c r="F29" s="55"/>
      <c r="G29" s="56"/>
      <c r="H29" s="56"/>
      <c r="I29" s="200"/>
      <c r="J29" s="56"/>
      <c r="K29" s="201" t="str">
        <f t="shared" si="34"/>
        <v/>
      </c>
      <c r="L29" s="56"/>
      <c r="M29" s="56" t="str">
        <f t="shared" si="31"/>
        <v/>
      </c>
      <c r="N29" s="329"/>
      <c r="O29" s="259">
        <f t="shared" si="3"/>
        <v>3192.548691821235</v>
      </c>
      <c r="P29" s="260">
        <f t="shared" si="27"/>
        <v>98964.646075463708</v>
      </c>
      <c r="Q29" s="169">
        <f t="shared" si="4"/>
        <v>61.493780195049212</v>
      </c>
      <c r="R29" s="169">
        <f t="shared" si="32"/>
        <v>0</v>
      </c>
      <c r="S29" s="368" t="str">
        <f t="shared" si="12"/>
        <v/>
      </c>
      <c r="T29" s="169"/>
      <c r="U29" s="169"/>
      <c r="V29" s="170" t="str">
        <f t="shared" si="28"/>
        <v/>
      </c>
      <c r="W29" s="170" t="str">
        <f t="shared" si="29"/>
        <v/>
      </c>
      <c r="X29" s="259">
        <f t="shared" si="33"/>
        <v>0</v>
      </c>
      <c r="Y29" s="259">
        <f t="shared" si="33"/>
        <v>0</v>
      </c>
      <c r="Z29" s="259">
        <f t="shared" si="33"/>
        <v>0</v>
      </c>
      <c r="AA29" s="348">
        <f t="shared" si="8"/>
        <v>0</v>
      </c>
      <c r="AB29" s="274">
        <f t="shared" si="13"/>
        <v>0</v>
      </c>
      <c r="AC29" s="100"/>
      <c r="AD29" s="97"/>
    </row>
    <row r="30" spans="1:30" ht="16" thickTop="1">
      <c r="A30" s="29"/>
      <c r="B30" s="16"/>
      <c r="C30" s="42"/>
      <c r="D30" s="60">
        <f ca="1">TODAY()-C30</f>
        <v>43138</v>
      </c>
      <c r="E30" s="113" t="s">
        <v>76</v>
      </c>
      <c r="F30" s="59">
        <f ca="1">G30*0.000568181818</f>
        <v>-1.2427401132386871E-58</v>
      </c>
      <c r="G30" s="19">
        <f ca="1">H30*1.0936113</f>
        <v>-2.1872226000000002E-55</v>
      </c>
      <c r="H30" s="129">
        <f ca="1">IF(TODAY()&gt;=B23,(AA29-AA20)*1000,-2E-55)</f>
        <v>-2E-55</v>
      </c>
      <c r="I30" s="152"/>
      <c r="J30" s="424" t="s">
        <v>121</v>
      </c>
      <c r="K30" s="452"/>
      <c r="L30" s="452"/>
      <c r="M30" s="453"/>
      <c r="N30" s="453"/>
      <c r="O30" s="259" t="str">
        <f t="shared" si="3"/>
        <v/>
      </c>
      <c r="P30" s="260"/>
      <c r="Q30" s="169">
        <f t="shared" si="4"/>
        <v>0</v>
      </c>
      <c r="R30" s="350"/>
      <c r="S30" s="368" t="str">
        <f t="shared" si="12"/>
        <v/>
      </c>
      <c r="T30" s="350"/>
      <c r="U30" s="350"/>
      <c r="V30" s="350"/>
      <c r="W30" s="350"/>
      <c r="X30" s="234"/>
      <c r="Y30" s="234"/>
      <c r="Z30" s="234"/>
      <c r="AA30" s="348">
        <f t="shared" si="8"/>
        <v>0</v>
      </c>
      <c r="AB30" s="274">
        <f t="shared" si="13"/>
        <v>0</v>
      </c>
      <c r="AC30" s="100"/>
      <c r="AD30" s="97"/>
    </row>
    <row r="31" spans="1:30" ht="19" thickBot="1">
      <c r="A31" s="28"/>
      <c r="B31" s="17"/>
      <c r="C31" s="39"/>
      <c r="D31" s="61">
        <f ca="1">TODAY()-C31</f>
        <v>43138</v>
      </c>
      <c r="E31" s="116" t="s">
        <v>33</v>
      </c>
      <c r="F31" s="62">
        <f>G31*0.0005681818</f>
        <v>13.885756215371698</v>
      </c>
      <c r="G31" s="63">
        <f>H31*1.0936113</f>
        <v>24438.931721100002</v>
      </c>
      <c r="H31" s="131">
        <f>INT(SUM($O23:$O29))</f>
        <v>22347</v>
      </c>
      <c r="I31" s="153"/>
      <c r="J31" s="426" t="str">
        <f>IF(R$2=1,"mph",IF(R$2=2,"mph",IF(R$2=3," km/h","????")))</f>
        <v>mph</v>
      </c>
      <c r="K31" s="454"/>
      <c r="L31" s="454"/>
      <c r="M31" s="455"/>
      <c r="N31" s="455"/>
      <c r="O31" s="259" t="str">
        <f t="shared" si="3"/>
        <v/>
      </c>
      <c r="P31" s="260"/>
      <c r="Q31" s="169">
        <f t="shared" si="4"/>
        <v>0</v>
      </c>
      <c r="R31" s="351"/>
      <c r="S31" s="368" t="str">
        <f t="shared" si="12"/>
        <v/>
      </c>
      <c r="T31" s="351"/>
      <c r="U31" s="351"/>
      <c r="V31" s="351"/>
      <c r="W31" s="351"/>
      <c r="X31" s="234"/>
      <c r="Y31" s="234"/>
      <c r="Z31" s="234"/>
      <c r="AA31" s="348">
        <f t="shared" si="8"/>
        <v>0</v>
      </c>
      <c r="AB31" s="274">
        <f t="shared" si="13"/>
        <v>0</v>
      </c>
      <c r="AC31" s="100"/>
      <c r="AD31" s="97"/>
    </row>
    <row r="32" spans="1:30" ht="16" thickTop="1">
      <c r="A32" s="1" t="s">
        <v>11</v>
      </c>
      <c r="B32" s="57">
        <f t="shared" ref="B32:B38" si="35">IF(B$2&gt;C32,0,C32)</f>
        <v>43297</v>
      </c>
      <c r="C32" s="40">
        <f>C29+1</f>
        <v>43297</v>
      </c>
      <c r="D32" s="22">
        <f t="shared" ca="1" si="1"/>
        <v>-159</v>
      </c>
      <c r="E32" s="118" t="s">
        <v>1</v>
      </c>
      <c r="F32" s="55"/>
      <c r="G32" s="56"/>
      <c r="H32" s="56"/>
      <c r="I32" s="200"/>
      <c r="J32" s="128"/>
      <c r="K32" s="201" t="str">
        <f t="shared" ref="K32" si="36">IF(R32=0,"",IF(L32="","",J32))</f>
        <v/>
      </c>
      <c r="L32" s="154"/>
      <c r="M32" s="56" t="str">
        <f>IF(R32=0,"",IF(J32="","",L32))</f>
        <v/>
      </c>
      <c r="N32" s="330"/>
      <c r="O32" s="259">
        <f t="shared" si="3"/>
        <v>3192.548691821235</v>
      </c>
      <c r="P32" s="260">
        <f t="shared" ref="P32:P38" si="37">H$56</f>
        <v>98964.646075463708</v>
      </c>
      <c r="Q32" s="169">
        <f t="shared" si="4"/>
        <v>61.493780195049212</v>
      </c>
      <c r="R32" s="169">
        <f>IF(R$2=3,H32+G32/1.0936133+F32/0.0006213712,IF(R$2=2,H32*1.0936133+G32+F32/0.0005681818,IF(R$2=1,H32*0.0005681818*1.0936133+G32*0.0005681818+F32,"")))</f>
        <v>0</v>
      </c>
      <c r="S32" s="368" t="str">
        <f t="shared" si="12"/>
        <v/>
      </c>
      <c r="T32" s="169"/>
      <c r="U32" s="169"/>
      <c r="V32" s="170" t="str">
        <f t="shared" ref="V32:V38" si="38">IF(L32="","",IF(R32=0,"",IF(B32=0,"",IF($R$2=3,R32/L32*60/1000,IF($R$2=2,R32/L32*60/1760,IF($R$2=1,R32/L32*60,""))))))</f>
        <v/>
      </c>
      <c r="W32" s="170" t="str">
        <f t="shared" ref="W32:W38" si="39">IF(R32=0,"",IF(L32="","",V32*L32))</f>
        <v/>
      </c>
      <c r="X32" s="259">
        <f>F32+X29</f>
        <v>0</v>
      </c>
      <c r="Y32" s="259">
        <f>G32+Y29</f>
        <v>0</v>
      </c>
      <c r="Z32" s="259">
        <f>H32+Z29</f>
        <v>0</v>
      </c>
      <c r="AA32" s="348">
        <f t="shared" si="8"/>
        <v>0</v>
      </c>
      <c r="AB32" s="274">
        <f t="shared" si="13"/>
        <v>0</v>
      </c>
      <c r="AC32" s="100"/>
      <c r="AD32" s="97"/>
    </row>
    <row r="33" spans="1:30">
      <c r="A33" s="1"/>
      <c r="B33" s="5">
        <f t="shared" si="35"/>
        <v>43298</v>
      </c>
      <c r="C33" s="38">
        <f t="shared" ref="C33:C38" si="40">C32+1</f>
        <v>43298</v>
      </c>
      <c r="D33" s="7">
        <f t="shared" ca="1" si="1"/>
        <v>-160</v>
      </c>
      <c r="E33" s="114" t="s">
        <v>2</v>
      </c>
      <c r="F33" s="55"/>
      <c r="G33" s="56"/>
      <c r="H33" s="56"/>
      <c r="I33" s="200"/>
      <c r="J33" s="56"/>
      <c r="K33" s="201" t="str">
        <f>IF(R33=0,"",IF(L33="","",J33))</f>
        <v/>
      </c>
      <c r="L33" s="56"/>
      <c r="M33" s="56" t="str">
        <f t="shared" ref="M33:M38" si="41">IF(R33=0,"",IF(J33="","",L33))</f>
        <v/>
      </c>
      <c r="N33" s="324"/>
      <c r="O33" s="259">
        <f t="shared" si="3"/>
        <v>3192.548691821235</v>
      </c>
      <c r="P33" s="260">
        <f t="shared" si="37"/>
        <v>98964.646075463708</v>
      </c>
      <c r="Q33" s="169">
        <f t="shared" si="4"/>
        <v>61.493780195049212</v>
      </c>
      <c r="R33" s="169">
        <f t="shared" ref="R33:R38" si="42">IF(R$2=3,H33+G33/1.0936133+F33/0.0006213712,IF(R$2=2,H33*1.0936133+G33+F33/0.0005681818,IF(R$2=1,H33*0.0005681818*1.0936133+G33*0.0005681818+F33,"")))</f>
        <v>0</v>
      </c>
      <c r="S33" s="368" t="str">
        <f t="shared" si="12"/>
        <v/>
      </c>
      <c r="T33" s="169"/>
      <c r="U33" s="169"/>
      <c r="V33" s="170" t="str">
        <f t="shared" si="38"/>
        <v/>
      </c>
      <c r="W33" s="170" t="str">
        <f t="shared" si="39"/>
        <v/>
      </c>
      <c r="X33" s="259">
        <f t="shared" ref="X33:Z38" si="43">F33+X32</f>
        <v>0</v>
      </c>
      <c r="Y33" s="259">
        <f t="shared" si="43"/>
        <v>0</v>
      </c>
      <c r="Z33" s="259">
        <f t="shared" si="43"/>
        <v>0</v>
      </c>
      <c r="AA33" s="348">
        <f t="shared" si="8"/>
        <v>0</v>
      </c>
      <c r="AB33" s="274">
        <f t="shared" si="13"/>
        <v>0</v>
      </c>
      <c r="AC33" s="100"/>
      <c r="AD33" s="97"/>
    </row>
    <row r="34" spans="1:30">
      <c r="A34" s="1"/>
      <c r="B34" s="5">
        <f t="shared" si="35"/>
        <v>43299</v>
      </c>
      <c r="C34" s="38">
        <f t="shared" si="40"/>
        <v>43299</v>
      </c>
      <c r="D34" s="7">
        <f t="shared" ca="1" si="1"/>
        <v>-161</v>
      </c>
      <c r="E34" s="114" t="s">
        <v>3</v>
      </c>
      <c r="F34" s="55"/>
      <c r="G34" s="56"/>
      <c r="H34" s="56"/>
      <c r="I34" s="200"/>
      <c r="J34" s="56"/>
      <c r="K34" s="201" t="str">
        <f t="shared" ref="K34:K38" si="44">IF(R34=0,"",IF(L34="","",J34))</f>
        <v/>
      </c>
      <c r="L34" s="56"/>
      <c r="M34" s="56" t="str">
        <f t="shared" si="41"/>
        <v/>
      </c>
      <c r="N34" s="324"/>
      <c r="O34" s="259">
        <f t="shared" si="3"/>
        <v>3192.548691821235</v>
      </c>
      <c r="P34" s="260">
        <f t="shared" si="37"/>
        <v>98964.646075463708</v>
      </c>
      <c r="Q34" s="169">
        <f t="shared" si="4"/>
        <v>61.493780195049212</v>
      </c>
      <c r="R34" s="169">
        <f t="shared" si="42"/>
        <v>0</v>
      </c>
      <c r="S34" s="368" t="str">
        <f t="shared" si="12"/>
        <v/>
      </c>
      <c r="T34" s="169"/>
      <c r="U34" s="169"/>
      <c r="V34" s="170" t="str">
        <f t="shared" si="38"/>
        <v/>
      </c>
      <c r="W34" s="170" t="str">
        <f t="shared" si="39"/>
        <v/>
      </c>
      <c r="X34" s="259">
        <f t="shared" si="43"/>
        <v>0</v>
      </c>
      <c r="Y34" s="259">
        <f t="shared" si="43"/>
        <v>0</v>
      </c>
      <c r="Z34" s="259">
        <f t="shared" si="43"/>
        <v>0</v>
      </c>
      <c r="AA34" s="348">
        <f t="shared" si="8"/>
        <v>0</v>
      </c>
      <c r="AB34" s="274">
        <f t="shared" si="13"/>
        <v>0</v>
      </c>
      <c r="AC34" s="100"/>
      <c r="AD34" s="97"/>
    </row>
    <row r="35" spans="1:30">
      <c r="A35" s="1"/>
      <c r="B35" s="5">
        <f t="shared" si="35"/>
        <v>43300</v>
      </c>
      <c r="C35" s="38">
        <f t="shared" si="40"/>
        <v>43300</v>
      </c>
      <c r="D35" s="7">
        <f t="shared" ca="1" si="1"/>
        <v>-162</v>
      </c>
      <c r="E35" s="114" t="s">
        <v>4</v>
      </c>
      <c r="F35" s="55"/>
      <c r="G35" s="56"/>
      <c r="H35" s="56"/>
      <c r="I35" s="200"/>
      <c r="J35" s="56"/>
      <c r="K35" s="201" t="str">
        <f t="shared" si="44"/>
        <v/>
      </c>
      <c r="L35" s="56"/>
      <c r="M35" s="56" t="str">
        <f t="shared" si="41"/>
        <v/>
      </c>
      <c r="N35" s="324"/>
      <c r="O35" s="259">
        <f t="shared" si="3"/>
        <v>3192.548691821235</v>
      </c>
      <c r="P35" s="260">
        <f t="shared" si="37"/>
        <v>98964.646075463708</v>
      </c>
      <c r="Q35" s="169">
        <f t="shared" si="4"/>
        <v>61.493780195049212</v>
      </c>
      <c r="R35" s="169">
        <f t="shared" si="42"/>
        <v>0</v>
      </c>
      <c r="S35" s="368" t="str">
        <f t="shared" si="12"/>
        <v/>
      </c>
      <c r="T35" s="169"/>
      <c r="U35" s="169"/>
      <c r="V35" s="170" t="str">
        <f t="shared" si="38"/>
        <v/>
      </c>
      <c r="W35" s="170" t="str">
        <f t="shared" si="39"/>
        <v/>
      </c>
      <c r="X35" s="259">
        <f t="shared" si="43"/>
        <v>0</v>
      </c>
      <c r="Y35" s="259">
        <f t="shared" si="43"/>
        <v>0</v>
      </c>
      <c r="Z35" s="259">
        <f t="shared" si="43"/>
        <v>0</v>
      </c>
      <c r="AA35" s="348">
        <f t="shared" si="8"/>
        <v>0</v>
      </c>
      <c r="AB35" s="274">
        <f t="shared" si="13"/>
        <v>0</v>
      </c>
      <c r="AC35" s="100"/>
      <c r="AD35" s="97"/>
    </row>
    <row r="36" spans="1:30">
      <c r="A36" s="1"/>
      <c r="B36" s="5">
        <f t="shared" si="35"/>
        <v>43301</v>
      </c>
      <c r="C36" s="38">
        <f t="shared" si="40"/>
        <v>43301</v>
      </c>
      <c r="D36" s="7">
        <f t="shared" ca="1" si="1"/>
        <v>-163</v>
      </c>
      <c r="E36" s="114" t="s">
        <v>5</v>
      </c>
      <c r="F36" s="55"/>
      <c r="G36" s="56"/>
      <c r="H36" s="56"/>
      <c r="I36" s="200"/>
      <c r="J36" s="56"/>
      <c r="K36" s="201" t="str">
        <f t="shared" si="44"/>
        <v/>
      </c>
      <c r="L36" s="56"/>
      <c r="M36" s="56" t="str">
        <f t="shared" si="41"/>
        <v/>
      </c>
      <c r="N36" s="324"/>
      <c r="O36" s="259">
        <f t="shared" si="3"/>
        <v>3192.548691821235</v>
      </c>
      <c r="P36" s="260">
        <f t="shared" si="37"/>
        <v>98964.646075463708</v>
      </c>
      <c r="Q36" s="169">
        <f t="shared" si="4"/>
        <v>61.493780195049212</v>
      </c>
      <c r="R36" s="169">
        <f t="shared" si="42"/>
        <v>0</v>
      </c>
      <c r="S36" s="368" t="str">
        <f t="shared" si="12"/>
        <v/>
      </c>
      <c r="T36" s="169"/>
      <c r="U36" s="169"/>
      <c r="V36" s="170" t="str">
        <f t="shared" si="38"/>
        <v/>
      </c>
      <c r="W36" s="170" t="str">
        <f t="shared" si="39"/>
        <v/>
      </c>
      <c r="X36" s="259">
        <f t="shared" si="43"/>
        <v>0</v>
      </c>
      <c r="Y36" s="259">
        <f t="shared" si="43"/>
        <v>0</v>
      </c>
      <c r="Z36" s="259">
        <f t="shared" si="43"/>
        <v>0</v>
      </c>
      <c r="AA36" s="348">
        <f t="shared" si="8"/>
        <v>0</v>
      </c>
      <c r="AB36" s="274">
        <f t="shared" si="13"/>
        <v>0</v>
      </c>
      <c r="AC36" s="100"/>
      <c r="AD36" s="97"/>
    </row>
    <row r="37" spans="1:30">
      <c r="A37" s="1"/>
      <c r="B37" s="5">
        <f t="shared" si="35"/>
        <v>43302</v>
      </c>
      <c r="C37" s="38">
        <f t="shared" si="40"/>
        <v>43302</v>
      </c>
      <c r="D37" s="7">
        <f t="shared" ca="1" si="1"/>
        <v>-164</v>
      </c>
      <c r="E37" s="114" t="s">
        <v>6</v>
      </c>
      <c r="F37" s="55"/>
      <c r="G37" s="56"/>
      <c r="H37" s="56"/>
      <c r="I37" s="200"/>
      <c r="J37" s="56"/>
      <c r="K37" s="201" t="str">
        <f t="shared" si="44"/>
        <v/>
      </c>
      <c r="L37" s="56"/>
      <c r="M37" s="56" t="str">
        <f t="shared" si="41"/>
        <v/>
      </c>
      <c r="N37" s="324"/>
      <c r="O37" s="259">
        <f t="shared" si="3"/>
        <v>3192.548691821235</v>
      </c>
      <c r="P37" s="260">
        <f t="shared" si="37"/>
        <v>98964.646075463708</v>
      </c>
      <c r="Q37" s="169">
        <f t="shared" si="4"/>
        <v>61.493780195049212</v>
      </c>
      <c r="R37" s="169">
        <f t="shared" si="42"/>
        <v>0</v>
      </c>
      <c r="S37" s="368" t="str">
        <f t="shared" si="12"/>
        <v/>
      </c>
      <c r="T37" s="169"/>
      <c r="U37" s="169"/>
      <c r="V37" s="170" t="str">
        <f t="shared" si="38"/>
        <v/>
      </c>
      <c r="W37" s="170" t="str">
        <f t="shared" si="39"/>
        <v/>
      </c>
      <c r="X37" s="259">
        <f t="shared" si="43"/>
        <v>0</v>
      </c>
      <c r="Y37" s="259">
        <f t="shared" si="43"/>
        <v>0</v>
      </c>
      <c r="Z37" s="259">
        <f t="shared" si="43"/>
        <v>0</v>
      </c>
      <c r="AA37" s="348">
        <f t="shared" si="8"/>
        <v>0</v>
      </c>
      <c r="AB37" s="274">
        <f t="shared" si="13"/>
        <v>0</v>
      </c>
      <c r="AC37" s="100"/>
      <c r="AD37" s="97"/>
    </row>
    <row r="38" spans="1:30" ht="16" thickBot="1">
      <c r="A38" s="1"/>
      <c r="B38" s="53">
        <f t="shared" si="35"/>
        <v>43303</v>
      </c>
      <c r="C38" s="41">
        <f t="shared" si="40"/>
        <v>43303</v>
      </c>
      <c r="D38" s="54">
        <f t="shared" ca="1" si="1"/>
        <v>-165</v>
      </c>
      <c r="E38" s="117" t="s">
        <v>7</v>
      </c>
      <c r="F38" s="55"/>
      <c r="G38" s="56"/>
      <c r="H38" s="56"/>
      <c r="I38" s="200"/>
      <c r="J38" s="56"/>
      <c r="K38" s="201" t="str">
        <f t="shared" si="44"/>
        <v/>
      </c>
      <c r="L38" s="56"/>
      <c r="M38" s="56" t="str">
        <f t="shared" si="41"/>
        <v/>
      </c>
      <c r="N38" s="329"/>
      <c r="O38" s="259">
        <f t="shared" si="3"/>
        <v>3192.548691821235</v>
      </c>
      <c r="P38" s="260">
        <f t="shared" si="37"/>
        <v>98964.646075463708</v>
      </c>
      <c r="Q38" s="169">
        <f t="shared" si="4"/>
        <v>61.493780195049212</v>
      </c>
      <c r="R38" s="169">
        <f t="shared" si="42"/>
        <v>0</v>
      </c>
      <c r="S38" s="368" t="str">
        <f t="shared" si="12"/>
        <v/>
      </c>
      <c r="T38" s="169"/>
      <c r="U38" s="169"/>
      <c r="V38" s="170" t="str">
        <f t="shared" si="38"/>
        <v/>
      </c>
      <c r="W38" s="170" t="str">
        <f t="shared" si="39"/>
        <v/>
      </c>
      <c r="X38" s="259">
        <f t="shared" si="43"/>
        <v>0</v>
      </c>
      <c r="Y38" s="259">
        <f t="shared" si="43"/>
        <v>0</v>
      </c>
      <c r="Z38" s="259">
        <f t="shared" si="43"/>
        <v>0</v>
      </c>
      <c r="AA38" s="348">
        <f t="shared" si="8"/>
        <v>0</v>
      </c>
      <c r="AB38" s="274">
        <f t="shared" si="13"/>
        <v>0</v>
      </c>
      <c r="AC38" s="100"/>
      <c r="AD38" s="97"/>
    </row>
    <row r="39" spans="1:30" ht="16" thickTop="1">
      <c r="A39" s="29"/>
      <c r="B39" s="16"/>
      <c r="C39" s="42"/>
      <c r="D39" s="60">
        <f ca="1">TODAY()-C39</f>
        <v>43138</v>
      </c>
      <c r="E39" s="113" t="s">
        <v>76</v>
      </c>
      <c r="F39" s="59">
        <f ca="1">G39*0.000568181818</f>
        <v>-1.2427401132386871E-58</v>
      </c>
      <c r="G39" s="19">
        <f ca="1">H39*1.0936113</f>
        <v>-2.1872226000000002E-55</v>
      </c>
      <c r="H39" s="20">
        <f ca="1">IF(TODAY()&gt;=B32,(AA38-AA29)*1000,-2E-55)</f>
        <v>-2E-55</v>
      </c>
      <c r="I39" s="152"/>
      <c r="J39" s="218" t="s">
        <v>137</v>
      </c>
      <c r="K39" s="155"/>
      <c r="L39" s="219" t="s">
        <v>138</v>
      </c>
      <c r="M39" s="155"/>
      <c r="N39" s="331" t="s">
        <v>139</v>
      </c>
      <c r="O39" s="259" t="str">
        <f t="shared" si="3"/>
        <v/>
      </c>
      <c r="P39" s="260"/>
      <c r="Q39" s="169">
        <f t="shared" si="4"/>
        <v>0</v>
      </c>
      <c r="R39" s="350"/>
      <c r="S39" s="368" t="str">
        <f t="shared" si="12"/>
        <v/>
      </c>
      <c r="T39" s="350"/>
      <c r="U39" s="350"/>
      <c r="V39" s="350"/>
      <c r="W39" s="350"/>
      <c r="X39" s="234"/>
      <c r="Y39" s="234"/>
      <c r="Z39" s="234"/>
      <c r="AA39" s="348">
        <f t="shared" si="8"/>
        <v>0</v>
      </c>
      <c r="AB39" s="274">
        <f t="shared" si="13"/>
        <v>0</v>
      </c>
      <c r="AC39" s="100"/>
      <c r="AD39" s="97"/>
    </row>
    <row r="40" spans="1:30" ht="16" thickBot="1">
      <c r="A40" s="28"/>
      <c r="B40" s="17"/>
      <c r="C40" s="39"/>
      <c r="D40" s="61">
        <f ca="1">TODAY()-C40</f>
        <v>43138</v>
      </c>
      <c r="E40" s="116" t="s">
        <v>33</v>
      </c>
      <c r="F40" s="62">
        <f>G40*0.0005681818</f>
        <v>13.885756215371698</v>
      </c>
      <c r="G40" s="63">
        <f>H40*1.0936113</f>
        <v>24438.931721100002</v>
      </c>
      <c r="H40" s="6">
        <f>INT(SUM($O32:$O38))</f>
        <v>22347</v>
      </c>
      <c r="I40" s="153"/>
      <c r="J40" s="156"/>
      <c r="K40" s="157"/>
      <c r="L40" s="217">
        <f>COUNT(S5:S51)-COUNT(V5:V51)</f>
        <v>0</v>
      </c>
      <c r="M40" s="157"/>
      <c r="N40" s="157"/>
      <c r="O40" s="259" t="str">
        <f t="shared" si="3"/>
        <v/>
      </c>
      <c r="P40" s="260"/>
      <c r="Q40" s="169">
        <f t="shared" si="4"/>
        <v>0</v>
      </c>
      <c r="R40" s="351"/>
      <c r="S40" s="368" t="str">
        <f t="shared" si="12"/>
        <v/>
      </c>
      <c r="T40" s="351"/>
      <c r="U40" s="351"/>
      <c r="V40" s="351"/>
      <c r="W40" s="351"/>
      <c r="X40" s="234"/>
      <c r="Y40" s="234"/>
      <c r="Z40" s="234"/>
      <c r="AA40" s="348">
        <f t="shared" si="8"/>
        <v>0</v>
      </c>
      <c r="AB40" s="274">
        <f t="shared" si="13"/>
        <v>0</v>
      </c>
      <c r="AC40" s="100"/>
      <c r="AD40" s="97"/>
    </row>
    <row r="41" spans="1:30" ht="16" thickTop="1">
      <c r="A41" s="1" t="s">
        <v>12</v>
      </c>
      <c r="B41" s="57">
        <f t="shared" ref="B41:B47" si="45">IF(B$3&lt;C41,0,C41)</f>
        <v>43304</v>
      </c>
      <c r="C41" s="40">
        <f>C38+1</f>
        <v>43304</v>
      </c>
      <c r="D41" s="22">
        <f t="shared" ca="1" si="1"/>
        <v>-166</v>
      </c>
      <c r="E41" s="118" t="str">
        <f>IF(B41=0,"","Monday")</f>
        <v>Monday</v>
      </c>
      <c r="F41" s="55"/>
      <c r="G41" s="56"/>
      <c r="H41" s="56"/>
      <c r="I41" s="200"/>
      <c r="J41" s="128"/>
      <c r="K41" s="201" t="str">
        <f t="shared" ref="K41" si="46">IF(R41=0,"",IF(L41="","",J41))</f>
        <v/>
      </c>
      <c r="L41" s="128"/>
      <c r="M41" s="56" t="str">
        <f>IF(R41=0,"",IF(J41="","",L41))</f>
        <v/>
      </c>
      <c r="N41" s="330"/>
      <c r="O41" s="259">
        <f t="shared" si="3"/>
        <v>3192.548691821235</v>
      </c>
      <c r="P41" s="260">
        <f t="shared" ref="P41:P47" si="47">H$56</f>
        <v>98964.646075463708</v>
      </c>
      <c r="Q41" s="169">
        <f t="shared" si="4"/>
        <v>61.493780195049212</v>
      </c>
      <c r="R41" s="169">
        <f>IF(R$2=3,H41+G41/1.0936133+F41/0.0006213712,IF(R$2=2,H41*1.0936133+G41+F41/0.0005681818,IF(R$2=1,H41*0.0005681818*1.0936133+G41*0.0005681818+F41,"")))</f>
        <v>0</v>
      </c>
      <c r="S41" s="368" t="str">
        <f t="shared" si="12"/>
        <v/>
      </c>
      <c r="T41" s="169"/>
      <c r="U41" s="169"/>
      <c r="V41" s="170" t="str">
        <f t="shared" ref="V41:V47" si="48">IF(L41="","",IF(R41=0,"",IF(B41=0,"",IF($R$2=3,R41/L41*60/1000,IF($R$2=2,R41/L41*60/1760,IF($R$2=1,R41/L41*60,""))))))</f>
        <v/>
      </c>
      <c r="W41" s="170" t="str">
        <f t="shared" ref="W41:W47" si="49">IF(R41=0,"",IF(L41="","",V41*L41))</f>
        <v/>
      </c>
      <c r="X41" s="259">
        <f>F41+X38</f>
        <v>0</v>
      </c>
      <c r="Y41" s="259">
        <f>G41+Y38</f>
        <v>0</v>
      </c>
      <c r="Z41" s="259">
        <f>H41+Z38</f>
        <v>0</v>
      </c>
      <c r="AA41" s="348">
        <f t="shared" si="8"/>
        <v>0</v>
      </c>
      <c r="AB41" s="274">
        <f t="shared" si="13"/>
        <v>0</v>
      </c>
      <c r="AC41" s="100"/>
      <c r="AD41" s="97"/>
    </row>
    <row r="42" spans="1:30">
      <c r="A42" s="1"/>
      <c r="B42" s="5">
        <f t="shared" si="45"/>
        <v>43305</v>
      </c>
      <c r="C42" s="38">
        <f t="shared" ref="C42:C47" si="50">C41+1</f>
        <v>43305</v>
      </c>
      <c r="D42" s="7">
        <f t="shared" ca="1" si="1"/>
        <v>-167</v>
      </c>
      <c r="E42" s="114" t="str">
        <f>IF(B42=0,"","Tuesday")</f>
        <v>Tuesday</v>
      </c>
      <c r="F42" s="55"/>
      <c r="G42" s="56"/>
      <c r="H42" s="56"/>
      <c r="I42" s="200"/>
      <c r="J42" s="56"/>
      <c r="K42" s="201" t="str">
        <f>IF(R42=0,"",IF(L42="","",J42))</f>
        <v/>
      </c>
      <c r="L42" s="56"/>
      <c r="M42" s="56" t="str">
        <f t="shared" ref="M42:M47" si="51">IF(R42=0,"",IF(J42="","",L42))</f>
        <v/>
      </c>
      <c r="N42" s="324"/>
      <c r="O42" s="259">
        <f t="shared" si="3"/>
        <v>3192.548691821235</v>
      </c>
      <c r="P42" s="260">
        <f t="shared" si="47"/>
        <v>98964.646075463708</v>
      </c>
      <c r="Q42" s="169">
        <f t="shared" si="4"/>
        <v>61.493780195049212</v>
      </c>
      <c r="R42" s="169">
        <f t="shared" ref="R42:R47" si="52">IF(R$2=3,H42+G42/1.0936133+F42/0.0006213712,IF(R$2=2,H42*1.0936133+G42+F42/0.0005681818,IF(R$2=1,H42*0.0005681818*1.0936133+G42*0.0005681818+F42,"")))</f>
        <v>0</v>
      </c>
      <c r="S42" s="368" t="str">
        <f t="shared" si="12"/>
        <v/>
      </c>
      <c r="T42" s="169"/>
      <c r="U42" s="169"/>
      <c r="V42" s="170" t="str">
        <f t="shared" si="48"/>
        <v/>
      </c>
      <c r="W42" s="170" t="str">
        <f t="shared" si="49"/>
        <v/>
      </c>
      <c r="X42" s="259">
        <f t="shared" ref="X42:Z47" si="53">F42+X41</f>
        <v>0</v>
      </c>
      <c r="Y42" s="259">
        <f t="shared" si="53"/>
        <v>0</v>
      </c>
      <c r="Z42" s="259">
        <f t="shared" si="53"/>
        <v>0</v>
      </c>
      <c r="AA42" s="348">
        <f t="shared" si="8"/>
        <v>0</v>
      </c>
      <c r="AB42" s="274">
        <f t="shared" si="13"/>
        <v>0</v>
      </c>
      <c r="AC42" s="100"/>
      <c r="AD42" s="97"/>
    </row>
    <row r="43" spans="1:30">
      <c r="A43" s="1"/>
      <c r="B43" s="5">
        <f t="shared" si="45"/>
        <v>43306</v>
      </c>
      <c r="C43" s="38">
        <f t="shared" si="50"/>
        <v>43306</v>
      </c>
      <c r="D43" s="7">
        <f t="shared" ca="1" si="1"/>
        <v>-168</v>
      </c>
      <c r="E43" s="114" t="str">
        <f>IF(B43=0,"","Wednesday")</f>
        <v>Wednesday</v>
      </c>
      <c r="F43" s="55"/>
      <c r="G43" s="56"/>
      <c r="H43" s="56"/>
      <c r="I43" s="200"/>
      <c r="J43" s="56"/>
      <c r="K43" s="201" t="str">
        <f t="shared" ref="K43:K47" si="54">IF(R43=0,"",IF(L43="","",J43))</f>
        <v/>
      </c>
      <c r="L43" s="56"/>
      <c r="M43" s="56" t="str">
        <f t="shared" si="51"/>
        <v/>
      </c>
      <c r="N43" s="324"/>
      <c r="O43" s="259">
        <f t="shared" si="3"/>
        <v>3192.548691821235</v>
      </c>
      <c r="P43" s="260">
        <f t="shared" si="47"/>
        <v>98964.646075463708</v>
      </c>
      <c r="Q43" s="169">
        <f t="shared" si="4"/>
        <v>61.493780195049212</v>
      </c>
      <c r="R43" s="169">
        <f t="shared" si="52"/>
        <v>0</v>
      </c>
      <c r="S43" s="368" t="str">
        <f t="shared" si="12"/>
        <v/>
      </c>
      <c r="T43" s="169"/>
      <c r="U43" s="169"/>
      <c r="V43" s="170" t="str">
        <f t="shared" si="48"/>
        <v/>
      </c>
      <c r="W43" s="170" t="str">
        <f t="shared" si="49"/>
        <v/>
      </c>
      <c r="X43" s="259">
        <f t="shared" si="53"/>
        <v>0</v>
      </c>
      <c r="Y43" s="259">
        <f t="shared" si="53"/>
        <v>0</v>
      </c>
      <c r="Z43" s="259">
        <f t="shared" si="53"/>
        <v>0</v>
      </c>
      <c r="AA43" s="348">
        <f t="shared" si="8"/>
        <v>0</v>
      </c>
      <c r="AB43" s="274">
        <f t="shared" si="13"/>
        <v>0</v>
      </c>
      <c r="AC43" s="100"/>
      <c r="AD43" s="97"/>
    </row>
    <row r="44" spans="1:30">
      <c r="A44" s="1"/>
      <c r="B44" s="5">
        <f t="shared" si="45"/>
        <v>43307</v>
      </c>
      <c r="C44" s="38">
        <f t="shared" si="50"/>
        <v>43307</v>
      </c>
      <c r="D44" s="7">
        <f t="shared" ca="1" si="1"/>
        <v>-169</v>
      </c>
      <c r="E44" s="114" t="str">
        <f>IF(B44=0,"","Thursday")</f>
        <v>Thursday</v>
      </c>
      <c r="F44" s="55"/>
      <c r="G44" s="56"/>
      <c r="H44" s="56"/>
      <c r="I44" s="200"/>
      <c r="J44" s="56"/>
      <c r="K44" s="201" t="str">
        <f t="shared" si="54"/>
        <v/>
      </c>
      <c r="L44" s="56"/>
      <c r="M44" s="56" t="str">
        <f t="shared" si="51"/>
        <v/>
      </c>
      <c r="N44" s="324"/>
      <c r="O44" s="259">
        <f t="shared" si="3"/>
        <v>3192.548691821235</v>
      </c>
      <c r="P44" s="260">
        <f t="shared" si="47"/>
        <v>98964.646075463708</v>
      </c>
      <c r="Q44" s="169">
        <f t="shared" si="4"/>
        <v>61.493780195049212</v>
      </c>
      <c r="R44" s="169">
        <f t="shared" si="52"/>
        <v>0</v>
      </c>
      <c r="S44" s="368" t="str">
        <f t="shared" si="12"/>
        <v/>
      </c>
      <c r="T44" s="169"/>
      <c r="U44" s="169"/>
      <c r="V44" s="170" t="str">
        <f t="shared" si="48"/>
        <v/>
      </c>
      <c r="W44" s="170" t="str">
        <f t="shared" si="49"/>
        <v/>
      </c>
      <c r="X44" s="259">
        <f t="shared" si="53"/>
        <v>0</v>
      </c>
      <c r="Y44" s="259">
        <f t="shared" si="53"/>
        <v>0</v>
      </c>
      <c r="Z44" s="259">
        <f t="shared" si="53"/>
        <v>0</v>
      </c>
      <c r="AA44" s="348">
        <f t="shared" si="8"/>
        <v>0</v>
      </c>
      <c r="AB44" s="274">
        <f t="shared" si="13"/>
        <v>0</v>
      </c>
      <c r="AC44" s="174"/>
      <c r="AD44" s="173"/>
    </row>
    <row r="45" spans="1:30">
      <c r="A45" s="1"/>
      <c r="B45" s="5">
        <f t="shared" si="45"/>
        <v>43308</v>
      </c>
      <c r="C45" s="38">
        <f t="shared" si="50"/>
        <v>43308</v>
      </c>
      <c r="D45" s="7">
        <f t="shared" ca="1" si="1"/>
        <v>-170</v>
      </c>
      <c r="E45" s="114" t="str">
        <f>IF(B45=0,"","Friday")</f>
        <v>Friday</v>
      </c>
      <c r="F45" s="55"/>
      <c r="G45" s="56"/>
      <c r="H45" s="56"/>
      <c r="I45" s="200"/>
      <c r="J45" s="56"/>
      <c r="K45" s="201" t="str">
        <f t="shared" si="54"/>
        <v/>
      </c>
      <c r="L45" s="56"/>
      <c r="M45" s="56" t="str">
        <f t="shared" si="51"/>
        <v/>
      </c>
      <c r="N45" s="324"/>
      <c r="O45" s="259">
        <f t="shared" si="3"/>
        <v>3192.548691821235</v>
      </c>
      <c r="P45" s="260">
        <f t="shared" si="47"/>
        <v>98964.646075463708</v>
      </c>
      <c r="Q45" s="169">
        <f t="shared" si="4"/>
        <v>61.493780195049212</v>
      </c>
      <c r="R45" s="169">
        <f t="shared" si="52"/>
        <v>0</v>
      </c>
      <c r="S45" s="368" t="str">
        <f t="shared" si="12"/>
        <v/>
      </c>
      <c r="T45" s="169"/>
      <c r="U45" s="169"/>
      <c r="V45" s="170" t="str">
        <f t="shared" si="48"/>
        <v/>
      </c>
      <c r="W45" s="170" t="str">
        <f t="shared" si="49"/>
        <v/>
      </c>
      <c r="X45" s="259">
        <f t="shared" si="53"/>
        <v>0</v>
      </c>
      <c r="Y45" s="259">
        <f t="shared" si="53"/>
        <v>0</v>
      </c>
      <c r="Z45" s="259">
        <f t="shared" si="53"/>
        <v>0</v>
      </c>
      <c r="AA45" s="348">
        <f t="shared" si="8"/>
        <v>0</v>
      </c>
      <c r="AB45" s="274">
        <f t="shared" si="13"/>
        <v>0</v>
      </c>
      <c r="AC45" s="100"/>
      <c r="AD45" s="97"/>
    </row>
    <row r="46" spans="1:30">
      <c r="A46" s="1"/>
      <c r="B46" s="5">
        <f t="shared" si="45"/>
        <v>43309</v>
      </c>
      <c r="C46" s="38">
        <f t="shared" si="50"/>
        <v>43309</v>
      </c>
      <c r="D46" s="7">
        <f t="shared" ca="1" si="1"/>
        <v>-171</v>
      </c>
      <c r="E46" s="114" t="str">
        <f>IF(B46=0,"","Saturday")</f>
        <v>Saturday</v>
      </c>
      <c r="F46" s="55"/>
      <c r="G46" s="56"/>
      <c r="H46" s="56"/>
      <c r="I46" s="200"/>
      <c r="J46" s="56"/>
      <c r="K46" s="201" t="str">
        <f t="shared" si="54"/>
        <v/>
      </c>
      <c r="L46" s="56"/>
      <c r="M46" s="56" t="str">
        <f t="shared" si="51"/>
        <v/>
      </c>
      <c r="N46" s="324"/>
      <c r="O46" s="259">
        <f t="shared" si="3"/>
        <v>3192.548691821235</v>
      </c>
      <c r="P46" s="260">
        <f t="shared" si="47"/>
        <v>98964.646075463708</v>
      </c>
      <c r="Q46" s="169">
        <f t="shared" si="4"/>
        <v>61.493780195049212</v>
      </c>
      <c r="R46" s="169">
        <f t="shared" si="52"/>
        <v>0</v>
      </c>
      <c r="S46" s="368" t="str">
        <f t="shared" si="12"/>
        <v/>
      </c>
      <c r="T46" s="169"/>
      <c r="U46" s="169"/>
      <c r="V46" s="170" t="str">
        <f t="shared" si="48"/>
        <v/>
      </c>
      <c r="W46" s="170" t="str">
        <f t="shared" si="49"/>
        <v/>
      </c>
      <c r="X46" s="259">
        <f t="shared" si="53"/>
        <v>0</v>
      </c>
      <c r="Y46" s="259">
        <f t="shared" si="53"/>
        <v>0</v>
      </c>
      <c r="Z46" s="259">
        <f t="shared" si="53"/>
        <v>0</v>
      </c>
      <c r="AA46" s="348">
        <f t="shared" si="8"/>
        <v>0</v>
      </c>
      <c r="AB46" s="274">
        <f t="shared" si="13"/>
        <v>0</v>
      </c>
      <c r="AC46" s="100"/>
      <c r="AD46" s="97"/>
    </row>
    <row r="47" spans="1:30" ht="16" thickBot="1">
      <c r="A47" s="1"/>
      <c r="B47" s="53">
        <f t="shared" si="45"/>
        <v>43310</v>
      </c>
      <c r="C47" s="41">
        <f t="shared" si="50"/>
        <v>43310</v>
      </c>
      <c r="D47" s="54">
        <f t="shared" ca="1" si="1"/>
        <v>-172</v>
      </c>
      <c r="E47" s="117" t="str">
        <f>IF(B47=0,"","Sunday")</f>
        <v>Sunday</v>
      </c>
      <c r="F47" s="55"/>
      <c r="G47" s="56"/>
      <c r="H47" s="56"/>
      <c r="I47" s="200"/>
      <c r="J47" s="56"/>
      <c r="K47" s="201" t="str">
        <f t="shared" si="54"/>
        <v/>
      </c>
      <c r="L47" s="56"/>
      <c r="M47" s="56" t="str">
        <f t="shared" si="51"/>
        <v/>
      </c>
      <c r="N47" s="329"/>
      <c r="O47" s="259">
        <f t="shared" si="3"/>
        <v>3192.548691821235</v>
      </c>
      <c r="P47" s="260">
        <f t="shared" si="47"/>
        <v>98964.646075463708</v>
      </c>
      <c r="Q47" s="169">
        <f t="shared" si="4"/>
        <v>61.493780195049212</v>
      </c>
      <c r="R47" s="169">
        <f t="shared" si="52"/>
        <v>0</v>
      </c>
      <c r="S47" s="368" t="str">
        <f t="shared" si="12"/>
        <v/>
      </c>
      <c r="T47" s="169"/>
      <c r="U47" s="169"/>
      <c r="V47" s="170" t="str">
        <f t="shared" si="48"/>
        <v/>
      </c>
      <c r="W47" s="170" t="str">
        <f t="shared" si="49"/>
        <v/>
      </c>
      <c r="X47" s="259">
        <f t="shared" si="53"/>
        <v>0</v>
      </c>
      <c r="Y47" s="259">
        <f t="shared" si="53"/>
        <v>0</v>
      </c>
      <c r="Z47" s="259">
        <f t="shared" si="53"/>
        <v>0</v>
      </c>
      <c r="AA47" s="348">
        <f t="shared" si="8"/>
        <v>0</v>
      </c>
      <c r="AB47" s="274">
        <f t="shared" si="13"/>
        <v>0</v>
      </c>
      <c r="AC47" s="100"/>
      <c r="AD47" s="97"/>
    </row>
    <row r="48" spans="1:30" ht="16" thickTop="1">
      <c r="A48" s="29"/>
      <c r="B48" s="16"/>
      <c r="C48" s="42"/>
      <c r="D48" s="60">
        <f ca="1">TODAY()-C48</f>
        <v>43138</v>
      </c>
      <c r="E48" s="113" t="s">
        <v>76</v>
      </c>
      <c r="F48" s="59">
        <f ca="1">G48*0.000568181818</f>
        <v>-1.2427401132386871E-58</v>
      </c>
      <c r="G48" s="19">
        <f ca="1">H48*1.0936113</f>
        <v>-2.1872226000000002E-55</v>
      </c>
      <c r="H48" s="20">
        <f ca="1">IF(SUM(B41:B47)=0,-1E-55,IF(TODAY()&gt;=B$41,(AA47-AA38)*1000,-2E-55))</f>
        <v>-2E-55</v>
      </c>
      <c r="I48" s="152"/>
      <c r="J48" s="432" t="s">
        <v>121</v>
      </c>
      <c r="K48" s="456"/>
      <c r="L48" s="456"/>
      <c r="M48" s="457"/>
      <c r="N48" s="457"/>
      <c r="O48" s="259" t="str">
        <f t="shared" si="3"/>
        <v/>
      </c>
      <c r="P48" s="230"/>
      <c r="Q48" s="169">
        <f t="shared" si="4"/>
        <v>0</v>
      </c>
      <c r="R48" s="350"/>
      <c r="S48" s="368" t="str">
        <f t="shared" si="12"/>
        <v/>
      </c>
      <c r="T48" s="350"/>
      <c r="U48" s="350"/>
      <c r="V48" s="350"/>
      <c r="W48" s="350"/>
      <c r="X48" s="259"/>
      <c r="Y48" s="259" t="str">
        <f>IF(A48=0,"",G48+Y36)</f>
        <v/>
      </c>
      <c r="Z48" s="259" t="str">
        <f>IF(B48=0,"",H48+Z36)</f>
        <v/>
      </c>
      <c r="AA48" s="348"/>
      <c r="AB48" s="274">
        <f t="shared" si="13"/>
        <v>0</v>
      </c>
      <c r="AC48" s="100"/>
      <c r="AD48" s="97"/>
    </row>
    <row r="49" spans="1:54" ht="19" thickBot="1">
      <c r="A49" s="28"/>
      <c r="B49" s="17"/>
      <c r="C49" s="39"/>
      <c r="D49" s="61">
        <f ca="1">TODAY()-C49</f>
        <v>43138</v>
      </c>
      <c r="E49" s="116" t="s">
        <v>33</v>
      </c>
      <c r="F49" s="62">
        <f>G49*0.0005681818</f>
        <v>13.885756215371698</v>
      </c>
      <c r="G49" s="63">
        <f>H49*1.0936113</f>
        <v>24438.931721100002</v>
      </c>
      <c r="H49" s="6">
        <f>INT(SUM($O41:$O47))</f>
        <v>22347</v>
      </c>
      <c r="I49" s="153"/>
      <c r="J49" s="434" t="str">
        <f>IF(R$2=1,"MILES",IF(R$2=2,"YARDS",IF(R$2=3,"METRES","????")))</f>
        <v>MILES</v>
      </c>
      <c r="K49" s="441"/>
      <c r="L49" s="441"/>
      <c r="M49" s="442"/>
      <c r="N49" s="442"/>
      <c r="O49" s="259" t="str">
        <f t="shared" si="3"/>
        <v/>
      </c>
      <c r="P49" s="234"/>
      <c r="Q49" s="169">
        <f t="shared" si="4"/>
        <v>0</v>
      </c>
      <c r="R49" s="351"/>
      <c r="S49" s="368" t="str">
        <f t="shared" si="12"/>
        <v/>
      </c>
      <c r="T49" s="351"/>
      <c r="U49" s="351"/>
      <c r="V49" s="351"/>
      <c r="W49" s="351"/>
      <c r="X49" s="259"/>
      <c r="Y49" s="259" t="str">
        <f>IF(A49=0,"",G49+Y37)</f>
        <v/>
      </c>
      <c r="Z49" s="259" t="str">
        <f>IF(B49=0,"",H49+Z37)</f>
        <v/>
      </c>
      <c r="AA49" s="348"/>
      <c r="AB49" s="274">
        <f t="shared" si="13"/>
        <v>0</v>
      </c>
      <c r="AC49" s="171"/>
      <c r="AD49" s="172"/>
      <c r="AE49" s="13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</row>
    <row r="50" spans="1:54" ht="16" thickTop="1">
      <c r="A50" s="1" t="s">
        <v>22</v>
      </c>
      <c r="B50" s="57">
        <f t="shared" ref="B50:B51" si="55">IF(B$3&lt;C50,0,C50)</f>
        <v>43311</v>
      </c>
      <c r="C50" s="40">
        <f>C47+1</f>
        <v>43311</v>
      </c>
      <c r="D50" s="22">
        <f t="shared" ca="1" si="1"/>
        <v>-173</v>
      </c>
      <c r="E50" s="118" t="str">
        <f>IF(B50=0,"","Monday")</f>
        <v>Monday</v>
      </c>
      <c r="F50" s="55"/>
      <c r="G50" s="56"/>
      <c r="H50" s="56"/>
      <c r="I50" s="200"/>
      <c r="J50" s="128"/>
      <c r="K50" s="201" t="str">
        <f t="shared" ref="K50" si="56">IF(R50=0,"",IF(L50="","",J50))</f>
        <v/>
      </c>
      <c r="L50" s="128"/>
      <c r="M50" s="56" t="str">
        <f>IF(R50=0,"",IF(J50="","",L50))</f>
        <v/>
      </c>
      <c r="N50" s="330"/>
      <c r="O50" s="259">
        <f t="shared" si="3"/>
        <v>3192.548691821235</v>
      </c>
      <c r="P50" s="260">
        <f>H$56</f>
        <v>98964.646075463708</v>
      </c>
      <c r="Q50" s="169">
        <f t="shared" si="4"/>
        <v>61.493780195049212</v>
      </c>
      <c r="R50" s="169">
        <f>IF(R$2=3,H50+G50/1.0936133+F50/0.0006213712,IF(R$2=2,H50*1.0936133+G50+F50/0.0005681818,IF(R$2=1,H50*0.0005681818*1.0936133+G50*0.0005681818+F50,"")))</f>
        <v>0</v>
      </c>
      <c r="S50" s="368" t="str">
        <f t="shared" si="12"/>
        <v/>
      </c>
      <c r="T50" s="169"/>
      <c r="U50" s="169"/>
      <c r="V50" s="170" t="str">
        <f>IF(L50="","",IF(R50=0,"",IF(B50=0,"",IF($R$2=3,R50/L50*60/1000,IF($R$2=2,R50/L50*60/1760,IF($R$2=1,R50/L50*60,""))))))</f>
        <v/>
      </c>
      <c r="W50" s="170" t="str">
        <f>IF(R50=0,"",IF(L50="","",V50*L50))</f>
        <v/>
      </c>
      <c r="X50" s="259">
        <f>F50+X47</f>
        <v>0</v>
      </c>
      <c r="Y50" s="259">
        <f>G50+Y47</f>
        <v>0</v>
      </c>
      <c r="Z50" s="259">
        <f>H50+Z47</f>
        <v>0</v>
      </c>
      <c r="AA50" s="348">
        <f t="shared" si="8"/>
        <v>0</v>
      </c>
      <c r="AB50" s="274">
        <f t="shared" si="13"/>
        <v>0</v>
      </c>
      <c r="AC50" s="100"/>
      <c r="AD50" s="97"/>
    </row>
    <row r="51" spans="1:54" ht="16" thickBot="1">
      <c r="A51" s="1"/>
      <c r="B51" s="5">
        <f t="shared" si="55"/>
        <v>43312</v>
      </c>
      <c r="C51" s="38">
        <f t="shared" ref="C51" si="57">C50+1</f>
        <v>43312</v>
      </c>
      <c r="D51" s="7">
        <f t="shared" ca="1" si="1"/>
        <v>-174</v>
      </c>
      <c r="E51" s="114" t="str">
        <f>IF(B51=0,"","Tuesday")</f>
        <v>Tuesday</v>
      </c>
      <c r="F51" s="55"/>
      <c r="G51" s="56"/>
      <c r="H51" s="56"/>
      <c r="I51" s="200"/>
      <c r="J51" s="56"/>
      <c r="K51" s="201" t="str">
        <f>IF(R51=0,"",IF(L51="","",J51))</f>
        <v/>
      </c>
      <c r="L51" s="56"/>
      <c r="M51" s="56" t="str">
        <f t="shared" ref="M51" si="58">IF(R51=0,"",IF(J51="","",L51))</f>
        <v/>
      </c>
      <c r="N51" s="329"/>
      <c r="O51" s="259">
        <f t="shared" si="3"/>
        <v>3192.548691821235</v>
      </c>
      <c r="P51" s="260">
        <f>H$56</f>
        <v>98964.646075463708</v>
      </c>
      <c r="Q51" s="169">
        <f t="shared" si="4"/>
        <v>61.493780195049212</v>
      </c>
      <c r="R51" s="169">
        <f>IF(R$2=3,H51+G51/1.0936133+F51/0.0006213712,IF(R$2=2,H51*1.0936133+G51+F51/0.0005681818,IF(R$2=1,H51*0.0005681818*1.0936133+G51*0.0005681818+F51,"")))</f>
        <v>0</v>
      </c>
      <c r="S51" s="368" t="str">
        <f t="shared" si="12"/>
        <v/>
      </c>
      <c r="T51" s="169"/>
      <c r="U51" s="169"/>
      <c r="V51" s="170" t="str">
        <f>IF(L51="","",IF(R51=0,"",IF(B51=0,"",IF($R$2=3,R51/L51*60/1000,IF($R$2=2,R51/L51*60/1760,IF($R$2=1,R51/L51*60,""))))))</f>
        <v/>
      </c>
      <c r="W51" s="170" t="str">
        <f>IF(R51=0,"",IF(L51="","",V51*L51))</f>
        <v/>
      </c>
      <c r="X51" s="259">
        <f>F51+X50</f>
        <v>0</v>
      </c>
      <c r="Y51" s="259">
        <f>G51+Y50</f>
        <v>0</v>
      </c>
      <c r="Z51" s="259">
        <f>H51+Z50</f>
        <v>0</v>
      </c>
      <c r="AA51" s="348">
        <f t="shared" si="8"/>
        <v>0</v>
      </c>
      <c r="AB51" s="274">
        <f t="shared" si="13"/>
        <v>0</v>
      </c>
      <c r="AC51" s="100"/>
      <c r="AD51" s="97"/>
    </row>
    <row r="52" spans="1:54" ht="17" thickTop="1" thickBot="1">
      <c r="A52" s="29"/>
      <c r="B52" s="16"/>
      <c r="C52" s="42"/>
      <c r="D52" s="60"/>
      <c r="E52" s="113" t="s">
        <v>76</v>
      </c>
      <c r="F52" s="59">
        <f ca="1">G52*0.000568181818</f>
        <v>-1.2427401132386871E-58</v>
      </c>
      <c r="G52" s="19">
        <f ca="1">H52*1.0936113</f>
        <v>-2.1872226000000002E-55</v>
      </c>
      <c r="H52" s="129">
        <f ca="1">IF(SUM(B50:B51)=0,-1E-55,IF(TODAY()&gt;=B50,(AA51-AA47)*1000,-2E-55))</f>
        <v>-2E-55</v>
      </c>
      <c r="I52" s="137"/>
      <c r="J52" s="422" t="s">
        <v>120</v>
      </c>
      <c r="K52" s="423"/>
      <c r="L52" s="423"/>
      <c r="M52" s="147"/>
      <c r="N52" s="332" t="str">
        <f>IF(R$2=1,"Distance (miles)",IF(R$2=2,"Distance (yds)",IF(R$2=3,"Distance (km)","????")))</f>
        <v>Distance (miles)</v>
      </c>
      <c r="O52" s="259"/>
      <c r="P52" s="234" t="s">
        <v>1</v>
      </c>
      <c r="Q52" s="234" t="s">
        <v>2</v>
      </c>
      <c r="R52" s="234" t="s">
        <v>3</v>
      </c>
      <c r="S52" s="234" t="s">
        <v>4</v>
      </c>
      <c r="T52" s="234" t="s">
        <v>5</v>
      </c>
      <c r="U52" s="234" t="s">
        <v>6</v>
      </c>
      <c r="V52" s="259" t="s">
        <v>7</v>
      </c>
      <c r="W52" s="259"/>
      <c r="X52" s="259"/>
      <c r="Y52" s="348"/>
      <c r="Z52" s="274"/>
      <c r="AA52" s="226"/>
      <c r="AB52" s="100"/>
      <c r="AC52" s="100"/>
    </row>
    <row r="53" spans="1:54" ht="16" thickBot="1">
      <c r="A53" s="28"/>
      <c r="B53" s="17"/>
      <c r="C53" s="39"/>
      <c r="D53" s="61"/>
      <c r="E53" s="116" t="s">
        <v>33</v>
      </c>
      <c r="F53" s="62">
        <f>G53*0.0005681818</f>
        <v>3.96750819710328</v>
      </c>
      <c r="G53" s="63">
        <f>H53*1.0936113</f>
        <v>6982.814650351841</v>
      </c>
      <c r="H53" s="131">
        <f>IF(SUM($O50:$O51)=0,-1E-55,SUM($O50:$O51))</f>
        <v>6385.09738364247</v>
      </c>
      <c r="I53" s="136"/>
      <c r="J53" s="158" t="str">
        <f>'MY STATS'!AF44</f>
        <v/>
      </c>
      <c r="K53" s="159" t="str">
        <f>IF(J53="","x",J53)</f>
        <v>x</v>
      </c>
      <c r="L53" s="206" t="str">
        <f>IF(J53="","",SUMIF(K$5:K$51,K53,M$5:M$51)/1440)</f>
        <v/>
      </c>
      <c r="M53" s="207" t="str">
        <f>IF(J53="","",IF('MY STATS'!$A$15=3,SUMIF(K$5:K$51,J53,R$5:R$51)/1000,SUMIF(K$5:K$51,J53,R$5:R$51)))</f>
        <v/>
      </c>
      <c r="N53" s="333" t="str">
        <f>IF(J53="","",IF('MY STATS'!$A$15=3,SUMIF(J$5:J$51,J53,R$5:R$51)/1000,SUMIF(J$5:J$51,J53,R$5:R$51)))</f>
        <v/>
      </c>
      <c r="O53" s="353" t="s">
        <v>58</v>
      </c>
      <c r="P53" s="234">
        <f t="shared" ref="P53:V53" si="59">COUNTIFS($E$5:$E$51,P52)</f>
        <v>5</v>
      </c>
      <c r="Q53" s="234">
        <f t="shared" si="59"/>
        <v>5</v>
      </c>
      <c r="R53" s="234">
        <f t="shared" si="59"/>
        <v>4</v>
      </c>
      <c r="S53" s="234">
        <f t="shared" si="59"/>
        <v>4</v>
      </c>
      <c r="T53" s="234">
        <f t="shared" si="59"/>
        <v>4</v>
      </c>
      <c r="U53" s="234">
        <f t="shared" si="59"/>
        <v>4</v>
      </c>
      <c r="V53" s="259">
        <f t="shared" si="59"/>
        <v>5</v>
      </c>
      <c r="W53" s="259"/>
      <c r="X53" s="259"/>
      <c r="Y53" s="348"/>
      <c r="Z53" s="274"/>
      <c r="AA53" s="226"/>
      <c r="AB53" s="100"/>
      <c r="AC53" s="174"/>
      <c r="AD53" s="12"/>
    </row>
    <row r="54" spans="1:54" ht="17" thickTop="1" thickBot="1">
      <c r="A54" s="11"/>
      <c r="B54" s="11"/>
      <c r="C54" s="11"/>
      <c r="D54" s="11"/>
      <c r="E54" s="11"/>
      <c r="F54" s="11" t="s">
        <v>34</v>
      </c>
      <c r="G54" s="11" t="s">
        <v>35</v>
      </c>
      <c r="H54" s="11" t="s">
        <v>37</v>
      </c>
      <c r="I54" s="135"/>
      <c r="J54" s="160" t="str">
        <f>'MY STATS'!AG44</f>
        <v/>
      </c>
      <c r="K54" s="161" t="str">
        <f t="shared" ref="K54:K59" si="60">IF(J54="","x",J54)</f>
        <v>x</v>
      </c>
      <c r="L54" s="208" t="str">
        <f>IF(J54="","",SUMIF(K$5:K$51,K54,M$5:M$51)/1440)</f>
        <v/>
      </c>
      <c r="M54" s="209" t="str">
        <f>IF(J54="","",IF('MY STATS'!$A$15=3,SUMIF(K$5:K$51,J54,R$5:R$51)/1000,SUMIF(K$5:K$51,J54,R$5:R$51)))</f>
        <v/>
      </c>
      <c r="N54" s="334" t="str">
        <f>IF(J54="","",IF('MY STATS'!$A$15=3,SUMIF(J$5:J$51,J54,R$5:R$51)/1000,SUMIF(J$5:J$51,J54,R$5:R$51)))</f>
        <v/>
      </c>
      <c r="O54" s="353" t="s">
        <v>57</v>
      </c>
      <c r="P54" s="234">
        <f t="shared" ref="P54:V54" ca="1" si="61">COUNTIFS($D$5:$D$51,"&gt;-1",$E$5:$E$51,P52)</f>
        <v>0</v>
      </c>
      <c r="Q54" s="234">
        <f t="shared" ca="1" si="61"/>
        <v>0</v>
      </c>
      <c r="R54" s="234">
        <f t="shared" ca="1" si="61"/>
        <v>0</v>
      </c>
      <c r="S54" s="234">
        <f t="shared" ca="1" si="61"/>
        <v>0</v>
      </c>
      <c r="T54" s="234">
        <f t="shared" ca="1" si="61"/>
        <v>0</v>
      </c>
      <c r="U54" s="234">
        <f t="shared" ca="1" si="61"/>
        <v>0</v>
      </c>
      <c r="V54" s="259">
        <f t="shared" ca="1" si="61"/>
        <v>0</v>
      </c>
      <c r="W54" s="259"/>
      <c r="X54" s="259"/>
      <c r="Y54" s="348"/>
      <c r="Z54" s="274"/>
      <c r="AA54" s="226"/>
      <c r="AB54" s="100"/>
      <c r="AC54" s="100"/>
    </row>
    <row r="55" spans="1:54" ht="16" thickTop="1">
      <c r="A55" s="30"/>
      <c r="B55" s="58"/>
      <c r="C55" s="43"/>
      <c r="D55" s="43"/>
      <c r="E55" s="18" t="s">
        <v>36</v>
      </c>
      <c r="F55" s="88">
        <f>G55*0.000568181818</f>
        <v>0</v>
      </c>
      <c r="G55" s="89">
        <f>H55*1.0936113</f>
        <v>0</v>
      </c>
      <c r="H55" s="132">
        <f>AA$51*1000</f>
        <v>0</v>
      </c>
      <c r="I55" s="138"/>
      <c r="J55" s="160" t="str">
        <f>'MY STATS'!AH44</f>
        <v/>
      </c>
      <c r="K55" s="161" t="str">
        <f t="shared" si="60"/>
        <v>x</v>
      </c>
      <c r="L55" s="208" t="str">
        <f>IF(J55="","",SUMIF(K$5:K$51,K55,M$5:M$51)/1440)</f>
        <v/>
      </c>
      <c r="M55" s="209" t="str">
        <f>IF(J55="","",IF('MY STATS'!$A$15=3,SUMIF(K$5:K$51,J55,R$5:R$51)/1000,SUMIF(K$5:K$51,J55,R$5:R$51)))</f>
        <v/>
      </c>
      <c r="N55" s="334" t="str">
        <f>IF(J55="","",IF('MY STATS'!$A$15=3,SUMIF(J$5:J$51,J55,R$5:R$51)/1000,SUMIF(J$5:J$51,J55,R$5:R$51)))</f>
        <v/>
      </c>
      <c r="O55" s="353" t="s">
        <v>80</v>
      </c>
      <c r="P55" s="234">
        <f t="shared" ref="P55:V55" si="62">COUNTIFS($E$5:$E$51,P52,$R$5:$R$51,"&gt;0")</f>
        <v>0</v>
      </c>
      <c r="Q55" s="234">
        <f t="shared" si="62"/>
        <v>0</v>
      </c>
      <c r="R55" s="234">
        <f t="shared" si="62"/>
        <v>0</v>
      </c>
      <c r="S55" s="234">
        <f t="shared" si="62"/>
        <v>0</v>
      </c>
      <c r="T55" s="234">
        <f t="shared" si="62"/>
        <v>0</v>
      </c>
      <c r="U55" s="234">
        <f t="shared" si="62"/>
        <v>0</v>
      </c>
      <c r="V55" s="259">
        <f t="shared" si="62"/>
        <v>0</v>
      </c>
      <c r="W55" s="259"/>
      <c r="X55" s="259"/>
      <c r="Y55" s="348"/>
      <c r="Z55" s="274"/>
      <c r="AA55" s="226"/>
      <c r="AB55" s="100"/>
      <c r="AC55" s="100"/>
    </row>
    <row r="56" spans="1:54" ht="16" thickBot="1">
      <c r="A56" s="31"/>
      <c r="B56" s="44"/>
      <c r="C56" s="44"/>
      <c r="D56" s="44"/>
      <c r="E56" s="21" t="s">
        <v>51</v>
      </c>
      <c r="F56" s="47">
        <f>G56*0.000568181818</f>
        <v>61.493667735224179</v>
      </c>
      <c r="G56" s="48">
        <f>H56*1.0936113</f>
        <v>108228.85524862778</v>
      </c>
      <c r="H56" s="133">
        <f>SUM(H$53,H40,H31,H22,H49,H13)-1</f>
        <v>98964.646075463708</v>
      </c>
      <c r="I56" s="139"/>
      <c r="J56" s="160" t="str">
        <f>'MY STATS'!AI44</f>
        <v/>
      </c>
      <c r="K56" s="161" t="str">
        <f t="shared" si="60"/>
        <v>x</v>
      </c>
      <c r="L56" s="208" t="str">
        <f>IF(J56="","",SUMIF(K$5:K$51,K56,M$5:M$51)/1440)</f>
        <v/>
      </c>
      <c r="M56" s="209" t="str">
        <f>IF(J56="","",IF('MY STATS'!$A$15=3,SUMIF(K$5:K$51,J56,R$5:R$51)/1000,SUMIF(K$5:K$51,J56,R$5:R$51)))</f>
        <v/>
      </c>
      <c r="N56" s="334" t="str">
        <f>IF(J56="","",IF('MY STATS'!$A$15=3,SUMIF(J$5:J$51,J56,R$5:R$51)/1000,SUMIF(J$5:J$51,J56,R$5:R$51)))</f>
        <v/>
      </c>
      <c r="O56" s="353" t="s">
        <v>136</v>
      </c>
      <c r="P56" s="234"/>
      <c r="Q56" s="234"/>
      <c r="R56" s="234"/>
      <c r="S56" s="234"/>
      <c r="T56" s="234"/>
      <c r="U56" s="234"/>
      <c r="V56" s="259"/>
      <c r="W56" s="259"/>
      <c r="X56" s="259"/>
      <c r="Y56" s="348"/>
      <c r="Z56" s="274"/>
      <c r="AA56" s="226"/>
      <c r="AB56" s="100"/>
      <c r="AC56" s="100"/>
      <c r="AF56" s="15"/>
    </row>
    <row r="57" spans="1:54" ht="17" thickTop="1" thickBot="1">
      <c r="A57" s="49"/>
      <c r="B57" s="49"/>
      <c r="C57" s="49"/>
      <c r="D57" s="49"/>
      <c r="E57" s="49"/>
      <c r="F57" s="49"/>
      <c r="G57" s="49"/>
      <c r="H57" s="49"/>
      <c r="I57" s="140"/>
      <c r="J57" s="160" t="str">
        <f>'MY STATS'!AJ44</f>
        <v/>
      </c>
      <c r="K57" s="161" t="str">
        <f>IF(J57="","x",J57)</f>
        <v>x</v>
      </c>
      <c r="L57" s="208" t="str">
        <f>IF(J57="","",SUMIF(K$5:K$51,K57,M$5:M$51)/1440)</f>
        <v/>
      </c>
      <c r="M57" s="209" t="str">
        <f>IF(J57="","",IF('MY STATS'!$A$15=3,SUMIF(K$5:K$51,J57,R$5:R$51)/1000,SUMIF(K$5:K$51,J57,R$5:R$51)))</f>
        <v/>
      </c>
      <c r="N57" s="334" t="str">
        <f>IF(J57="","",IF('MY STATS'!$A$15=3,SUMIF(J$5:J$51,J57,R$5:R$51)/1000,SUMIF(J$5:J$51,J57,R$5:R$51)))</f>
        <v/>
      </c>
      <c r="O57" s="353" t="s">
        <v>126</v>
      </c>
      <c r="P57" s="339">
        <f t="shared" ref="P57:V57" si="63">SUMIF($E$5:$E$51,P52,$S$5:$S$51)</f>
        <v>0</v>
      </c>
      <c r="Q57" s="339">
        <f t="shared" si="63"/>
        <v>0</v>
      </c>
      <c r="R57" s="339">
        <f t="shared" si="63"/>
        <v>0</v>
      </c>
      <c r="S57" s="339">
        <f t="shared" si="63"/>
        <v>0</v>
      </c>
      <c r="T57" s="339">
        <f t="shared" si="63"/>
        <v>0</v>
      </c>
      <c r="U57" s="339">
        <f t="shared" si="63"/>
        <v>0</v>
      </c>
      <c r="V57" s="339">
        <f t="shared" si="63"/>
        <v>0</v>
      </c>
      <c r="W57" s="230"/>
      <c r="X57" s="230"/>
      <c r="Y57" s="234"/>
      <c r="Z57" s="230"/>
      <c r="AA57" s="226"/>
      <c r="AB57" s="100"/>
      <c r="AC57" s="100"/>
    </row>
    <row r="58" spans="1:54" ht="17" thickTop="1" thickBot="1">
      <c r="A58" s="77">
        <f>A1</f>
        <v>7</v>
      </c>
      <c r="B58" s="78"/>
      <c r="C58" s="79"/>
      <c r="D58" s="71"/>
      <c r="E58" s="72" t="s">
        <v>91</v>
      </c>
      <c r="F58" s="90">
        <f>G58*0.000568181818</f>
        <v>0</v>
      </c>
      <c r="G58" s="91">
        <f>H58*1.0936113</f>
        <v>0</v>
      </c>
      <c r="H58" s="92">
        <f>H$55+G$3</f>
        <v>0</v>
      </c>
      <c r="I58" s="140"/>
      <c r="J58" s="162" t="s">
        <v>112</v>
      </c>
      <c r="K58" s="163"/>
      <c r="L58" s="210">
        <f>L59-SUM(L53:L57)</f>
        <v>0</v>
      </c>
      <c r="M58" s="211">
        <f>(M59-SUM(M53:M57))</f>
        <v>0</v>
      </c>
      <c r="N58" s="335">
        <f>(N59-SUM(N53:N57))</f>
        <v>0</v>
      </c>
      <c r="O58" s="353" t="s">
        <v>127</v>
      </c>
      <c r="P58" s="354">
        <f>IF(COUNTIFS($E$5:$E$51,P52,$L$5:$L$51,"&gt;0")=0,0,(SUMIF($E$5:$E$51,P52,$L$5:$L$51)+IF(SUMIF($E$5:$E$51,P52,$R$5:$R$51)=0,-SUMIF($E$5:$E$51,P52,$L$5:$L$51)))/60)</f>
        <v>0</v>
      </c>
      <c r="Q58" s="354">
        <f t="shared" ref="Q58:V58" si="64">IF(COUNTIFS($E$5:$E$51,Q52,$L$5:$L$51,"&gt;0")=0,0,(SUMIF($E$5:$E$51,Q52,$L$5:$L$51)+IF(SUMIF($E$5:$E$51,Q52,$R$5:$R$51)=0,-SUMIF($E$5:$E$51,Q52,$L$5:$L$51)))/60)</f>
        <v>0</v>
      </c>
      <c r="R58" s="354">
        <f t="shared" si="64"/>
        <v>0</v>
      </c>
      <c r="S58" s="354">
        <f t="shared" si="64"/>
        <v>0</v>
      </c>
      <c r="T58" s="354">
        <f t="shared" si="64"/>
        <v>0</v>
      </c>
      <c r="U58" s="354">
        <f t="shared" si="64"/>
        <v>0</v>
      </c>
      <c r="V58" s="230">
        <f t="shared" si="64"/>
        <v>0</v>
      </c>
      <c r="W58" s="230"/>
      <c r="X58" s="230"/>
      <c r="Y58" s="234"/>
      <c r="Z58" s="230"/>
      <c r="AA58" s="226"/>
      <c r="AB58" s="100"/>
      <c r="AC58" s="100"/>
    </row>
    <row r="59" spans="1:54" ht="17" thickTop="1" thickBot="1">
      <c r="A59" s="80">
        <f>A1</f>
        <v>7</v>
      </c>
      <c r="B59" s="81"/>
      <c r="C59" s="82"/>
      <c r="D59" s="73"/>
      <c r="E59" s="74" t="s">
        <v>63</v>
      </c>
      <c r="F59" s="75">
        <f>G59*0.000568181818</f>
        <v>211.99961229440061</v>
      </c>
      <c r="G59" s="76">
        <f>H59*1.0936113</f>
        <v>373119.31775754323</v>
      </c>
      <c r="H59" s="134">
        <f>VLOOKUP($A$1,'MY STATS'!B$29:K$40,10)</f>
        <v>341180.92759058287</v>
      </c>
      <c r="I59" s="138"/>
      <c r="J59" s="164" t="s">
        <v>68</v>
      </c>
      <c r="K59" s="165" t="str">
        <f t="shared" si="60"/>
        <v>total</v>
      </c>
      <c r="L59" s="212">
        <f>(SUM(L5:L51)-L40)/1440</f>
        <v>0</v>
      </c>
      <c r="M59" s="213">
        <f>IF('MY STATS'!$A$15=3,SUM(R5:R51)/1000,SUM(R5:R51))</f>
        <v>0</v>
      </c>
      <c r="N59" s="336">
        <f>IF('MY STATS'!$A$15=3,SUM(R5:R51)/1000,SUM(R5:R51))</f>
        <v>0</v>
      </c>
      <c r="O59" s="353" t="s">
        <v>111</v>
      </c>
      <c r="P59" s="235">
        <f>IFERROR(IF('MY STATS'!$A15=1,P57/P58,IF('MY STATS'!$A15=2,P57/1760/P58,IF('MY STATS'!$A15=3,P57/1000/P58,0))),0)</f>
        <v>0</v>
      </c>
      <c r="Q59" s="235">
        <f>IFERROR(IF('MY STATS'!$A15=1,Q57/Q58,IF('MY STATS'!$A15=2,Q57/1760/Q58,IF('MY STATS'!$A15=3,Q57/1000/Q58,0))),0)</f>
        <v>0</v>
      </c>
      <c r="R59" s="235">
        <f>IFERROR(IF('MY STATS'!$A15=1,R57/R58,IF('MY STATS'!$A15=2,R57/1760/R58,IF('MY STATS'!$A15=3,R57/1000/R58,0))),0)</f>
        <v>0</v>
      </c>
      <c r="S59" s="235">
        <f>IFERROR(IF('MY STATS'!$A15=1,S57/S58,IF('MY STATS'!$A15=2,S57/1760/S58,IF('MY STATS'!$A15=3,S57/1000/S58,0))),0)</f>
        <v>0</v>
      </c>
      <c r="T59" s="235">
        <f>IFERROR(IF('MY STATS'!$A15=1,T57/T58,IF('MY STATS'!$A15=2,T57/1760/T58,IF('MY STATS'!$A15=3,T57/1000/T58,0))),0)</f>
        <v>0</v>
      </c>
      <c r="U59" s="235">
        <f>IFERROR(IF('MY STATS'!$A15=1,U57/U58,IF('MY STATS'!$A15=2,U57/1760/U58,IF('MY STATS'!$A15=3,U57/1000/U58,0))),0)</f>
        <v>0</v>
      </c>
      <c r="V59" s="230">
        <f>IFERROR(IF('MY STATS'!$A15=1,V57/V58,IF('MY STATS'!$A15=2,V57/1760/V58,IF('MY STATS'!$A15=3,V57/1000/V58,0))),0)</f>
        <v>0</v>
      </c>
      <c r="W59" s="230"/>
      <c r="X59" s="230"/>
      <c r="Y59" s="234"/>
      <c r="Z59" s="230"/>
      <c r="AA59" s="226"/>
      <c r="AB59" s="100"/>
      <c r="AC59" s="100"/>
    </row>
    <row r="60" spans="1:54" ht="16" thickTop="1"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</row>
    <row r="61" spans="1:54">
      <c r="O61" s="97"/>
      <c r="AA61" s="3"/>
    </row>
    <row r="62" spans="1:54" ht="6.75" customHeight="1">
      <c r="O62" s="97"/>
      <c r="AA62" s="3"/>
    </row>
    <row r="63" spans="1:54">
      <c r="O63" s="97"/>
      <c r="AA63" s="3"/>
    </row>
    <row r="64" spans="1:54">
      <c r="O64" s="97"/>
      <c r="AA64" s="3"/>
    </row>
    <row r="65" spans="15:27">
      <c r="O65" s="97"/>
      <c r="AA65" s="3"/>
    </row>
    <row r="66" spans="15:27" s="3" customFormat="1"/>
  </sheetData>
  <sheetProtection sheet="1" objects="1" scenarios="1" selectLockedCells="1"/>
  <mergeCells count="8">
    <mergeCell ref="J49:N49"/>
    <mergeCell ref="J52:L52"/>
    <mergeCell ref="J12:N12"/>
    <mergeCell ref="J13:N13"/>
    <mergeCell ref="J21:N22"/>
    <mergeCell ref="J30:N30"/>
    <mergeCell ref="J31:N31"/>
    <mergeCell ref="J48:N48"/>
  </mergeCells>
  <conditionalFormatting sqref="B14:B20 B23:B29 B49:B51 B40:B47 B53 B31:B38 D3 B5:B11">
    <cfRule type="cellIs" dxfId="6761" priority="1374" stopIfTrue="1" operator="notBetween">
      <formula>$B$2</formula>
      <formula>$B$3</formula>
    </cfRule>
  </conditionalFormatting>
  <conditionalFormatting sqref="B14:B20 B23:B29 B49:B51 B40:B47 B53 B31:B38 D3 B5:B11">
    <cfRule type="cellIs" dxfId="6760" priority="1375" operator="greaterThan">
      <formula>$E$3</formula>
    </cfRule>
    <cfRule type="cellIs" dxfId="6759" priority="1376" operator="equal">
      <formula>$E$3</formula>
    </cfRule>
    <cfRule type="cellIs" dxfId="6758" priority="1377" operator="lessThan">
      <formula>$E$3</formula>
    </cfRule>
  </conditionalFormatting>
  <conditionalFormatting sqref="F58:H58 F55:H55">
    <cfRule type="expression" dxfId="6757" priority="1372">
      <formula>$F55&gt;=$F56</formula>
    </cfRule>
  </conditionalFormatting>
  <conditionalFormatting sqref="F5:H10 F14:G20 F23:G29 F38:H38 F41:H47 F11:G11 F32:G37">
    <cfRule type="cellIs" dxfId="6756" priority="1362" stopIfTrue="1" operator="lessThan">
      <formula>0</formula>
    </cfRule>
  </conditionalFormatting>
  <conditionalFormatting sqref="C32:C38 C41:C47 C50:C51 C14:C20 C23:C29 C5:C11">
    <cfRule type="cellIs" dxfId="6755" priority="1367" stopIfTrue="1" operator="notBetween">
      <formula>$B$2</formula>
      <formula>$B$3</formula>
    </cfRule>
  </conditionalFormatting>
  <conditionalFormatting sqref="C41:C47 C50:C51 C32:C38 C14:C20 C23:C29 C5:C11">
    <cfRule type="cellIs" dxfId="6754" priority="1368" operator="greaterThan">
      <formula>$E$3</formula>
    </cfRule>
    <cfRule type="cellIs" dxfId="6753" priority="1369" operator="equal">
      <formula>$E$3</formula>
    </cfRule>
    <cfRule type="cellIs" dxfId="6752" priority="1370" operator="lessThan">
      <formula>$E$3</formula>
    </cfRule>
  </conditionalFormatting>
  <conditionalFormatting sqref="F14:G20 F23:G29 F38:H38 F41:H47 F32:G37">
    <cfRule type="expression" dxfId="6751" priority="1366">
      <formula>$C14&lt;$E$3</formula>
    </cfRule>
  </conditionalFormatting>
  <conditionalFormatting sqref="F5:H10 F14:G20 F23:G29 F38:H38 F41:H47 F11:G11 F32:G37">
    <cfRule type="expression" dxfId="6750" priority="1363">
      <formula>$C5=$E$3</formula>
    </cfRule>
    <cfRule type="expression" dxfId="6749" priority="1364">
      <formula>$C5&lt;$E$3</formula>
    </cfRule>
    <cfRule type="cellIs" dxfId="6748" priority="1365" operator="equal">
      <formula>0</formula>
    </cfRule>
    <cfRule type="expression" dxfId="6747" priority="1371">
      <formula>$C5&gt;$E$3</formula>
    </cfRule>
  </conditionalFormatting>
  <conditionalFormatting sqref="F12:G12">
    <cfRule type="expression" dxfId="6746" priority="1361">
      <formula>$F12&gt;=$F13</formula>
    </cfRule>
  </conditionalFormatting>
  <conditionalFormatting sqref="F21:G21">
    <cfRule type="expression" dxfId="6745" priority="1360">
      <formula>$F21&gt;=$F22</formula>
    </cfRule>
  </conditionalFormatting>
  <conditionalFormatting sqref="F39:H39">
    <cfRule type="expression" dxfId="6744" priority="1359">
      <formula>$F39&gt;=$F40</formula>
    </cfRule>
  </conditionalFormatting>
  <conditionalFormatting sqref="F30:G30">
    <cfRule type="expression" dxfId="6743" priority="1358">
      <formula>$F30&gt;=$F31</formula>
    </cfRule>
  </conditionalFormatting>
  <conditionalFormatting sqref="F48:H48">
    <cfRule type="expression" dxfId="6742" priority="1356" stopIfTrue="1">
      <formula>$H$48=-1E-55</formula>
    </cfRule>
    <cfRule type="expression" dxfId="6741" priority="1357">
      <formula>$F48&gt;=$F49</formula>
    </cfRule>
  </conditionalFormatting>
  <conditionalFormatting sqref="F14:G20 F23:G29 F38:H38 F41:H47 F32:G37">
    <cfRule type="expression" dxfId="6740" priority="1355">
      <formula>$C14&lt;$E$3</formula>
    </cfRule>
  </conditionalFormatting>
  <conditionalFormatting sqref="F14:G20 F5:H10 F23:G29 F38:H38 F41:H47 F11:G11 F32:G37">
    <cfRule type="expression" dxfId="6739" priority="1351">
      <formula>$C5=$E$3</formula>
    </cfRule>
    <cfRule type="expression" dxfId="6738" priority="1352">
      <formula>$C5&lt;$E$3</formula>
    </cfRule>
    <cfRule type="cellIs" dxfId="6737" priority="1353" operator="equal">
      <formula>0</formula>
    </cfRule>
    <cfRule type="expression" dxfId="6736" priority="1354">
      <formula>$C5&gt;$E$3</formula>
    </cfRule>
  </conditionalFormatting>
  <conditionalFormatting sqref="F12:G12">
    <cfRule type="expression" dxfId="6735" priority="1350">
      <formula>$F12&gt;=$F13</formula>
    </cfRule>
  </conditionalFormatting>
  <conditionalFormatting sqref="F21:G21">
    <cfRule type="expression" dxfId="6734" priority="1349">
      <formula>$F21&gt;=$F22</formula>
    </cfRule>
  </conditionalFormatting>
  <conditionalFormatting sqref="F39:H39">
    <cfRule type="expression" dxfId="6733" priority="1348">
      <formula>$F39&gt;=$F40</formula>
    </cfRule>
  </conditionalFormatting>
  <conditionalFormatting sqref="F30:G30">
    <cfRule type="expression" dxfId="6732" priority="1347">
      <formula>$F30&gt;=$F31</formula>
    </cfRule>
  </conditionalFormatting>
  <conditionalFormatting sqref="F48:H48">
    <cfRule type="expression" dxfId="6731" priority="1345" stopIfTrue="1">
      <formula>$E$41=""</formula>
    </cfRule>
    <cfRule type="expression" dxfId="6730" priority="1346">
      <formula>$F48&gt;=$F49</formula>
    </cfRule>
  </conditionalFormatting>
  <conditionalFormatting sqref="F41:H47">
    <cfRule type="expression" dxfId="6729" priority="1344">
      <formula>$E41=""</formula>
    </cfRule>
  </conditionalFormatting>
  <conditionalFormatting sqref="F47:H47">
    <cfRule type="expression" dxfId="6728" priority="1343">
      <formula>$E$46=""</formula>
    </cfRule>
  </conditionalFormatting>
  <conditionalFormatting sqref="F45:H45">
    <cfRule type="expression" dxfId="6727" priority="1342">
      <formula>$E45=""</formula>
    </cfRule>
  </conditionalFormatting>
  <conditionalFormatting sqref="F5:H10 F11:G11">
    <cfRule type="expression" dxfId="6726" priority="1341">
      <formula>$C5&lt;$E$3</formula>
    </cfRule>
  </conditionalFormatting>
  <conditionalFormatting sqref="F5:H10 F11:G11">
    <cfRule type="expression" dxfId="6725" priority="1340">
      <formula>$E5=""</formula>
    </cfRule>
  </conditionalFormatting>
  <conditionalFormatting sqref="F5:H10 F11:G11">
    <cfRule type="expression" dxfId="6724" priority="1336">
      <formula>$C5=$E$3</formula>
    </cfRule>
    <cfRule type="expression" dxfId="6723" priority="1337">
      <formula>$C5&lt;$E$3</formula>
    </cfRule>
    <cfRule type="cellIs" dxfId="6722" priority="1338" operator="equal">
      <formula>0</formula>
    </cfRule>
    <cfRule type="expression" dxfId="6721" priority="1339">
      <formula>$C5&gt;$E$3</formula>
    </cfRule>
  </conditionalFormatting>
  <conditionalFormatting sqref="F5:H10 F11:G11">
    <cfRule type="expression" dxfId="6720" priority="1335">
      <formula>$C5&lt;$E$3</formula>
    </cfRule>
  </conditionalFormatting>
  <conditionalFormatting sqref="F5:H10 F11:G11">
    <cfRule type="expression" dxfId="6719" priority="1334">
      <formula>$E5=""</formula>
    </cfRule>
  </conditionalFormatting>
  <conditionalFormatting sqref="F14:G20">
    <cfRule type="expression" dxfId="6718" priority="1333">
      <formula>$C14&lt;$E$3</formula>
    </cfRule>
  </conditionalFormatting>
  <conditionalFormatting sqref="F14:G20">
    <cfRule type="expression" dxfId="6717" priority="1329">
      <formula>$C14=$E$3</formula>
    </cfRule>
    <cfRule type="expression" dxfId="6716" priority="1330">
      <formula>$C14&lt;$E$3</formula>
    </cfRule>
    <cfRule type="cellIs" dxfId="6715" priority="1331" operator="equal">
      <formula>0</formula>
    </cfRule>
    <cfRule type="expression" dxfId="6714" priority="1332">
      <formula>$C14&gt;$E$3</formula>
    </cfRule>
  </conditionalFormatting>
  <conditionalFormatting sqref="F5:H10 F11:G11">
    <cfRule type="expression" dxfId="6713" priority="1328">
      <formula>$C5&lt;$E$3</formula>
    </cfRule>
  </conditionalFormatting>
  <conditionalFormatting sqref="F5:H10 F11:G11">
    <cfRule type="expression" dxfId="6712" priority="1324">
      <formula>$C5=$E$3</formula>
    </cfRule>
    <cfRule type="expression" dxfId="6711" priority="1325">
      <formula>$C5&lt;$E$3</formula>
    </cfRule>
    <cfRule type="cellIs" dxfId="6710" priority="1326" operator="equal">
      <formula>0</formula>
    </cfRule>
    <cfRule type="expression" dxfId="6709" priority="1327">
      <formula>$C5&gt;$E$3</formula>
    </cfRule>
  </conditionalFormatting>
  <conditionalFormatting sqref="F5:H10 F11:G11">
    <cfRule type="expression" dxfId="6708" priority="1323">
      <formula>$E5=""</formula>
    </cfRule>
  </conditionalFormatting>
  <conditionalFormatting sqref="F5:H10 F11:G11">
    <cfRule type="expression" dxfId="6707" priority="1322">
      <formula>$C5&lt;$E$3</formula>
    </cfRule>
  </conditionalFormatting>
  <conditionalFormatting sqref="F5:H10 F11:G11">
    <cfRule type="expression" dxfId="6706" priority="1321">
      <formula>$E5=""</formula>
    </cfRule>
  </conditionalFormatting>
  <conditionalFormatting sqref="F5:H10 F11:G11">
    <cfRule type="expression" dxfId="6705" priority="1320">
      <formula>$E5=""</formula>
    </cfRule>
  </conditionalFormatting>
  <conditionalFormatting sqref="F5:H10 F11:G11">
    <cfRule type="expression" dxfId="6704" priority="1319">
      <formula>$C5&lt;$E$3</formula>
    </cfRule>
  </conditionalFormatting>
  <conditionalFormatting sqref="F5:H10 F11:G11">
    <cfRule type="expression" dxfId="6703" priority="1318">
      <formula>$E5=""</formula>
    </cfRule>
  </conditionalFormatting>
  <conditionalFormatting sqref="F5:H10 F11:G11">
    <cfRule type="expression" dxfId="6702" priority="1317">
      <formula>$C5&lt;$E$3</formula>
    </cfRule>
  </conditionalFormatting>
  <conditionalFormatting sqref="F5:H10 F11:G11">
    <cfRule type="expression" dxfId="6701" priority="1316">
      <formula>$E5=""</formula>
    </cfRule>
  </conditionalFormatting>
  <conditionalFormatting sqref="F5:H10 F11:G11">
    <cfRule type="expression" dxfId="6700" priority="1315">
      <formula>$C5&lt;$E$3</formula>
    </cfRule>
  </conditionalFormatting>
  <conditionalFormatting sqref="F5:H10 F11:G11">
    <cfRule type="expression" dxfId="6699" priority="1314">
      <formula>$E5=""</formula>
    </cfRule>
  </conditionalFormatting>
  <conditionalFormatting sqref="F14:G20">
    <cfRule type="expression" dxfId="6698" priority="1313">
      <formula>$C14&lt;$E$3</formula>
    </cfRule>
  </conditionalFormatting>
  <conditionalFormatting sqref="F14:G20">
    <cfRule type="expression" dxfId="6697" priority="1309">
      <formula>$C14=$E$3</formula>
    </cfRule>
    <cfRule type="expression" dxfId="6696" priority="1310">
      <formula>$C14&lt;$E$3</formula>
    </cfRule>
    <cfRule type="cellIs" dxfId="6695" priority="1311" operator="equal">
      <formula>0</formula>
    </cfRule>
    <cfRule type="expression" dxfId="6694" priority="1312">
      <formula>$C14&gt;$E$3</formula>
    </cfRule>
  </conditionalFormatting>
  <conditionalFormatting sqref="F14:G20">
    <cfRule type="expression" dxfId="6693" priority="1308">
      <formula>$E14=""</formula>
    </cfRule>
  </conditionalFormatting>
  <conditionalFormatting sqref="F14:G20">
    <cfRule type="expression" dxfId="6692" priority="1307">
      <formula>$C14&lt;$E$3</formula>
    </cfRule>
  </conditionalFormatting>
  <conditionalFormatting sqref="F14:G20">
    <cfRule type="expression" dxfId="6691" priority="1306">
      <formula>$E14=""</formula>
    </cfRule>
  </conditionalFormatting>
  <conditionalFormatting sqref="F14:G20">
    <cfRule type="expression" dxfId="6690" priority="1305">
      <formula>$E14=""</formula>
    </cfRule>
  </conditionalFormatting>
  <conditionalFormatting sqref="F14:G20">
    <cfRule type="expression" dxfId="6689" priority="1304">
      <formula>$C14&lt;$E$3</formula>
    </cfRule>
  </conditionalFormatting>
  <conditionalFormatting sqref="F14:G20">
    <cfRule type="expression" dxfId="6688" priority="1303">
      <formula>$E14=""</formula>
    </cfRule>
  </conditionalFormatting>
  <conditionalFormatting sqref="F14:G20">
    <cfRule type="expression" dxfId="6687" priority="1302">
      <formula>$C14&lt;$E$3</formula>
    </cfRule>
  </conditionalFormatting>
  <conditionalFormatting sqref="F14:G20">
    <cfRule type="expression" dxfId="6686" priority="1301">
      <formula>$E14=""</formula>
    </cfRule>
  </conditionalFormatting>
  <conditionalFormatting sqref="F14:G20">
    <cfRule type="expression" dxfId="6685" priority="1300">
      <formula>$C14&lt;$E$3</formula>
    </cfRule>
  </conditionalFormatting>
  <conditionalFormatting sqref="F14:G20">
    <cfRule type="expression" dxfId="6684" priority="1299">
      <formula>$E14=""</formula>
    </cfRule>
  </conditionalFormatting>
  <conditionalFormatting sqref="F23:G29">
    <cfRule type="expression" dxfId="6683" priority="1298">
      <formula>$C23&lt;$E$3</formula>
    </cfRule>
  </conditionalFormatting>
  <conditionalFormatting sqref="F23:G29">
    <cfRule type="expression" dxfId="6682" priority="1294">
      <formula>$C23=$E$3</formula>
    </cfRule>
    <cfRule type="expression" dxfId="6681" priority="1295">
      <formula>$C23&lt;$E$3</formula>
    </cfRule>
    <cfRule type="cellIs" dxfId="6680" priority="1296" operator="equal">
      <formula>0</formula>
    </cfRule>
    <cfRule type="expression" dxfId="6679" priority="1297">
      <formula>$C23&gt;$E$3</formula>
    </cfRule>
  </conditionalFormatting>
  <conditionalFormatting sqref="F23:G29">
    <cfRule type="expression" dxfId="6678" priority="1293">
      <formula>$C23&lt;$E$3</formula>
    </cfRule>
  </conditionalFormatting>
  <conditionalFormatting sqref="F23:G29">
    <cfRule type="expression" dxfId="6677" priority="1289">
      <formula>$C23=$E$3</formula>
    </cfRule>
    <cfRule type="expression" dxfId="6676" priority="1290">
      <formula>$C23&lt;$E$3</formula>
    </cfRule>
    <cfRule type="cellIs" dxfId="6675" priority="1291" operator="equal">
      <formula>0</formula>
    </cfRule>
    <cfRule type="expression" dxfId="6674" priority="1292">
      <formula>$C23&gt;$E$3</formula>
    </cfRule>
  </conditionalFormatting>
  <conditionalFormatting sqref="F23:G29">
    <cfRule type="expression" dxfId="6673" priority="1288">
      <formula>$E23=""</formula>
    </cfRule>
  </conditionalFormatting>
  <conditionalFormatting sqref="F23:G29">
    <cfRule type="expression" dxfId="6672" priority="1287">
      <formula>$C23&lt;$E$3</formula>
    </cfRule>
  </conditionalFormatting>
  <conditionalFormatting sqref="F23:G29">
    <cfRule type="expression" dxfId="6671" priority="1286">
      <formula>$E23=""</formula>
    </cfRule>
  </conditionalFormatting>
  <conditionalFormatting sqref="F23:G29">
    <cfRule type="expression" dxfId="6670" priority="1285">
      <formula>$E23=""</formula>
    </cfRule>
  </conditionalFormatting>
  <conditionalFormatting sqref="F23:G29">
    <cfRule type="expression" dxfId="6669" priority="1284">
      <formula>$C23&lt;$E$3</formula>
    </cfRule>
  </conditionalFormatting>
  <conditionalFormatting sqref="F23:G29">
    <cfRule type="expression" dxfId="6668" priority="1283">
      <formula>$E23=""</formula>
    </cfRule>
  </conditionalFormatting>
  <conditionalFormatting sqref="F23:G29">
    <cfRule type="expression" dxfId="6667" priority="1282">
      <formula>$C23&lt;$E$3</formula>
    </cfRule>
  </conditionalFormatting>
  <conditionalFormatting sqref="F23:G29">
    <cfRule type="expression" dxfId="6666" priority="1281">
      <formula>$E23=""</formula>
    </cfRule>
  </conditionalFormatting>
  <conditionalFormatting sqref="F23:G29">
    <cfRule type="expression" dxfId="6665" priority="1280">
      <formula>$C23&lt;$E$3</formula>
    </cfRule>
  </conditionalFormatting>
  <conditionalFormatting sqref="F23:G29">
    <cfRule type="expression" dxfId="6664" priority="1279">
      <formula>$E23=""</formula>
    </cfRule>
  </conditionalFormatting>
  <conditionalFormatting sqref="F38:H38 F32:G37">
    <cfRule type="expression" dxfId="6663" priority="1278">
      <formula>$C32&lt;$E$3</formula>
    </cfRule>
  </conditionalFormatting>
  <conditionalFormatting sqref="F38:H38 F32:G37">
    <cfRule type="expression" dxfId="6662" priority="1274">
      <formula>$C32=$E$3</formula>
    </cfRule>
    <cfRule type="expression" dxfId="6661" priority="1275">
      <formula>$C32&lt;$E$3</formula>
    </cfRule>
    <cfRule type="cellIs" dxfId="6660" priority="1276" operator="equal">
      <formula>0</formula>
    </cfRule>
    <cfRule type="expression" dxfId="6659" priority="1277">
      <formula>$C32&gt;$E$3</formula>
    </cfRule>
  </conditionalFormatting>
  <conditionalFormatting sqref="F38:H38 F32:G37">
    <cfRule type="expression" dxfId="6658" priority="1273">
      <formula>$C32&lt;$E$3</formula>
    </cfRule>
  </conditionalFormatting>
  <conditionalFormatting sqref="F38:H38 F32:G37">
    <cfRule type="expression" dxfId="6657" priority="1269">
      <formula>$C32=$E$3</formula>
    </cfRule>
    <cfRule type="expression" dxfId="6656" priority="1270">
      <formula>$C32&lt;$E$3</formula>
    </cfRule>
    <cfRule type="cellIs" dxfId="6655" priority="1271" operator="equal">
      <formula>0</formula>
    </cfRule>
    <cfRule type="expression" dxfId="6654" priority="1272">
      <formula>$C32&gt;$E$3</formula>
    </cfRule>
  </conditionalFormatting>
  <conditionalFormatting sqref="F38:H38 F32:G37">
    <cfRule type="expression" dxfId="6653" priority="1268">
      <formula>$E32=""</formula>
    </cfRule>
  </conditionalFormatting>
  <conditionalFormatting sqref="F38:H38 F32:G37">
    <cfRule type="expression" dxfId="6652" priority="1267">
      <formula>$C32&lt;$E$3</formula>
    </cfRule>
  </conditionalFormatting>
  <conditionalFormatting sqref="F38:H38 F32:G37">
    <cfRule type="expression" dxfId="6651" priority="1266">
      <formula>$E32=""</formula>
    </cfRule>
  </conditionalFormatting>
  <conditionalFormatting sqref="F38:H38 F32:G37">
    <cfRule type="expression" dxfId="6650" priority="1265">
      <formula>$E32=""</formula>
    </cfRule>
  </conditionalFormatting>
  <conditionalFormatting sqref="F38:H38 F32:G37">
    <cfRule type="expression" dxfId="6649" priority="1264">
      <formula>$C32&lt;$E$3</formula>
    </cfRule>
  </conditionalFormatting>
  <conditionalFormatting sqref="F38:H38 F32:G37">
    <cfRule type="expression" dxfId="6648" priority="1263">
      <formula>$E32=""</formula>
    </cfRule>
  </conditionalFormatting>
  <conditionalFormatting sqref="F38:H38 F32:G37">
    <cfRule type="expression" dxfId="6647" priority="1262">
      <formula>$C32&lt;$E$3</formula>
    </cfRule>
  </conditionalFormatting>
  <conditionalFormatting sqref="F38:H38 F32:G37">
    <cfRule type="expression" dxfId="6646" priority="1261">
      <formula>$E32=""</formula>
    </cfRule>
  </conditionalFormatting>
  <conditionalFormatting sqref="F38:H38 F32:G37">
    <cfRule type="expression" dxfId="6645" priority="1260">
      <formula>$C32&lt;$E$3</formula>
    </cfRule>
  </conditionalFormatting>
  <conditionalFormatting sqref="F38:H38 F32:G37">
    <cfRule type="expression" dxfId="6644" priority="1259">
      <formula>$E32=""</formula>
    </cfRule>
  </conditionalFormatting>
  <conditionalFormatting sqref="F41:H47">
    <cfRule type="expression" dxfId="6643" priority="1258">
      <formula>$C41&lt;$E$3</formula>
    </cfRule>
  </conditionalFormatting>
  <conditionalFormatting sqref="F41:H47">
    <cfRule type="expression" dxfId="6642" priority="1254">
      <formula>$C41=$E$3</formula>
    </cfRule>
    <cfRule type="expression" dxfId="6641" priority="1255">
      <formula>$C41&lt;$E$3</formula>
    </cfRule>
    <cfRule type="cellIs" dxfId="6640" priority="1256" operator="equal">
      <formula>0</formula>
    </cfRule>
    <cfRule type="expression" dxfId="6639" priority="1257">
      <formula>$C41&gt;$E$3</formula>
    </cfRule>
  </conditionalFormatting>
  <conditionalFormatting sqref="F41:H47">
    <cfRule type="expression" dxfId="6638" priority="1253">
      <formula>$C41&lt;$E$3</formula>
    </cfRule>
  </conditionalFormatting>
  <conditionalFormatting sqref="F41:H47">
    <cfRule type="expression" dxfId="6637" priority="1249">
      <formula>$C41=$E$3</formula>
    </cfRule>
    <cfRule type="expression" dxfId="6636" priority="1250">
      <formula>$C41&lt;$E$3</formula>
    </cfRule>
    <cfRule type="cellIs" dxfId="6635" priority="1251" operator="equal">
      <formula>0</formula>
    </cfRule>
    <cfRule type="expression" dxfId="6634" priority="1252">
      <formula>$C41&gt;$E$3</formula>
    </cfRule>
  </conditionalFormatting>
  <conditionalFormatting sqref="F41:H47">
    <cfRule type="expression" dxfId="6633" priority="1248">
      <formula>$E41=""</formula>
    </cfRule>
  </conditionalFormatting>
  <conditionalFormatting sqref="F41:H47">
    <cfRule type="expression" dxfId="6632" priority="1247">
      <formula>$C41&lt;$E$3</formula>
    </cfRule>
  </conditionalFormatting>
  <conditionalFormatting sqref="F41:H47">
    <cfRule type="expression" dxfId="6631" priority="1246">
      <formula>$E41=""</formula>
    </cfRule>
  </conditionalFormatting>
  <conditionalFormatting sqref="F41:H47">
    <cfRule type="expression" dxfId="6630" priority="1245">
      <formula>$E41=""</formula>
    </cfRule>
  </conditionalFormatting>
  <conditionalFormatting sqref="F41:H47">
    <cfRule type="expression" dxfId="6629" priority="1244">
      <formula>$C41&lt;$E$3</formula>
    </cfRule>
  </conditionalFormatting>
  <conditionalFormatting sqref="F41:H47">
    <cfRule type="expression" dxfId="6628" priority="1243">
      <formula>$E41=""</formula>
    </cfRule>
  </conditionalFormatting>
  <conditionalFormatting sqref="F41:H47">
    <cfRule type="expression" dxfId="6627" priority="1242">
      <formula>$C41&lt;$E$3</formula>
    </cfRule>
  </conditionalFormatting>
  <conditionalFormatting sqref="F41:H47">
    <cfRule type="expression" dxfId="6626" priority="1241">
      <formula>$E41=""</formula>
    </cfRule>
  </conditionalFormatting>
  <conditionalFormatting sqref="F41:H47">
    <cfRule type="expression" dxfId="6625" priority="1240">
      <formula>$C41&lt;$E$3</formula>
    </cfRule>
  </conditionalFormatting>
  <conditionalFormatting sqref="F41:H47">
    <cfRule type="expression" dxfId="6624" priority="1239">
      <formula>$E41=""</formula>
    </cfRule>
  </conditionalFormatting>
  <conditionalFormatting sqref="F50:H51">
    <cfRule type="cellIs" dxfId="6623" priority="1238" stopIfTrue="1" operator="lessThan">
      <formula>0</formula>
    </cfRule>
  </conditionalFormatting>
  <conditionalFormatting sqref="F50:H51">
    <cfRule type="expression" dxfId="6622" priority="1237">
      <formula>$C50&lt;$E$3</formula>
    </cfRule>
  </conditionalFormatting>
  <conditionalFormatting sqref="F50:H51">
    <cfRule type="expression" dxfId="6621" priority="1233">
      <formula>$C50=$E$3</formula>
    </cfRule>
    <cfRule type="expression" dxfId="6620" priority="1234">
      <formula>$C50&lt;$E$3</formula>
    </cfRule>
    <cfRule type="cellIs" dxfId="6619" priority="1235" operator="equal">
      <formula>0</formula>
    </cfRule>
    <cfRule type="expression" dxfId="6618" priority="1236">
      <formula>$C50&gt;$E$3</formula>
    </cfRule>
  </conditionalFormatting>
  <conditionalFormatting sqref="F50:H51">
    <cfRule type="expression" dxfId="6617" priority="1232">
      <formula>$C50&lt;$E$3</formula>
    </cfRule>
  </conditionalFormatting>
  <conditionalFormatting sqref="F50:H51">
    <cfRule type="expression" dxfId="6616" priority="1228">
      <formula>$C50=$E$3</formula>
    </cfRule>
    <cfRule type="expression" dxfId="6615" priority="1229">
      <formula>$C50&lt;$E$3</formula>
    </cfRule>
    <cfRule type="cellIs" dxfId="6614" priority="1230" operator="equal">
      <formula>0</formula>
    </cfRule>
    <cfRule type="expression" dxfId="6613" priority="1231">
      <formula>$C50&gt;$E$3</formula>
    </cfRule>
  </conditionalFormatting>
  <conditionalFormatting sqref="F50:H51">
    <cfRule type="expression" dxfId="6612" priority="1227">
      <formula>$C50&lt;$E$3</formula>
    </cfRule>
  </conditionalFormatting>
  <conditionalFormatting sqref="F50:H51">
    <cfRule type="expression" dxfId="6611" priority="1223">
      <formula>$C50=$E$3</formula>
    </cfRule>
    <cfRule type="expression" dxfId="6610" priority="1224">
      <formula>$C50&lt;$E$3</formula>
    </cfRule>
    <cfRule type="cellIs" dxfId="6609" priority="1225" operator="equal">
      <formula>0</formula>
    </cfRule>
    <cfRule type="expression" dxfId="6608" priority="1226">
      <formula>$C50&gt;$E$3</formula>
    </cfRule>
  </conditionalFormatting>
  <conditionalFormatting sqref="F50:H51">
    <cfRule type="expression" dxfId="6607" priority="1222">
      <formula>$C50&lt;$E$3</formula>
    </cfRule>
  </conditionalFormatting>
  <conditionalFormatting sqref="F50:H51">
    <cfRule type="expression" dxfId="6606" priority="1218">
      <formula>$C50=$E$3</formula>
    </cfRule>
    <cfRule type="expression" dxfId="6605" priority="1219">
      <formula>$C50&lt;$E$3</formula>
    </cfRule>
    <cfRule type="cellIs" dxfId="6604" priority="1220" operator="equal">
      <formula>0</formula>
    </cfRule>
    <cfRule type="expression" dxfId="6603" priority="1221">
      <formula>$C50&gt;$E$3</formula>
    </cfRule>
  </conditionalFormatting>
  <conditionalFormatting sqref="F50:H51">
    <cfRule type="expression" dxfId="6602" priority="1217">
      <formula>$E50=""</formula>
    </cfRule>
  </conditionalFormatting>
  <conditionalFormatting sqref="F50:H51">
    <cfRule type="expression" dxfId="6601" priority="1216">
      <formula>$C50&lt;$E$3</formula>
    </cfRule>
  </conditionalFormatting>
  <conditionalFormatting sqref="F50:H51">
    <cfRule type="expression" dxfId="6600" priority="1215">
      <formula>$E50=""</formula>
    </cfRule>
  </conditionalFormatting>
  <conditionalFormatting sqref="F50:H51">
    <cfRule type="expression" dxfId="6599" priority="1214">
      <formula>$E50=""</formula>
    </cfRule>
  </conditionalFormatting>
  <conditionalFormatting sqref="F50:H51">
    <cfRule type="expression" dxfId="6598" priority="1213">
      <formula>$C50&lt;$E$3</formula>
    </cfRule>
  </conditionalFormatting>
  <conditionalFormatting sqref="F50:H51">
    <cfRule type="expression" dxfId="6597" priority="1212">
      <formula>$E50=""</formula>
    </cfRule>
  </conditionalFormatting>
  <conditionalFormatting sqref="F50:H51">
    <cfRule type="expression" dxfId="6596" priority="1211">
      <formula>$C50&lt;$E$3</formula>
    </cfRule>
  </conditionalFormatting>
  <conditionalFormatting sqref="F50:H51">
    <cfRule type="expression" dxfId="6595" priority="1210">
      <formula>$E50=""</formula>
    </cfRule>
  </conditionalFormatting>
  <conditionalFormatting sqref="F50:H51">
    <cfRule type="expression" dxfId="6594" priority="1209">
      <formula>$C50&lt;$E$3</formula>
    </cfRule>
  </conditionalFormatting>
  <conditionalFormatting sqref="F50:H51">
    <cfRule type="expression" dxfId="6593" priority="1208">
      <formula>$E50=""</formula>
    </cfRule>
  </conditionalFormatting>
  <conditionalFormatting sqref="E14:E20 E5:E11 E41:E47 E32:E38 E23:E29 E50:E51">
    <cfRule type="containsText" dxfId="6592" priority="1201" operator="containsText" text="Sa">
      <formula>NOT(ISERROR(SEARCH("Sa",E5)))</formula>
    </cfRule>
    <cfRule type="containsText" dxfId="6591" priority="1203" operator="containsText" text="Fr">
      <formula>NOT(ISERROR(SEARCH("Fr",E5)))</formula>
    </cfRule>
    <cfRule type="containsText" dxfId="6590" priority="1204" operator="containsText" text="Th">
      <formula>NOT(ISERROR(SEARCH("Th",E5)))</formula>
    </cfRule>
  </conditionalFormatting>
  <conditionalFormatting sqref="E14:E20 E5:E11 E41:E47 E32:E38 E23:E29 E50:E51">
    <cfRule type="containsText" dxfId="6589" priority="1205" operator="containsText" text="Wed">
      <formula>NOT(ISERROR(SEARCH("Wed",E5)))</formula>
    </cfRule>
    <cfRule type="containsText" dxfId="6588" priority="1206" operator="containsText" text="Tu">
      <formula>NOT(ISERROR(SEARCH("Tu",E5)))</formula>
    </cfRule>
    <cfRule type="beginsWith" dxfId="6587" priority="1207" operator="beginsWith" text="M">
      <formula>LEFT(E5,1)="M"</formula>
    </cfRule>
  </conditionalFormatting>
  <conditionalFormatting sqref="E14:E20 E5:E11 E41:E47 E32:E38 E23:E29 E50:E51">
    <cfRule type="containsText" dxfId="6586" priority="1202" operator="containsText" text="Su">
      <formula>NOT(ISERROR(SEARCH("Su",E5)))</formula>
    </cfRule>
  </conditionalFormatting>
  <conditionalFormatting sqref="C4">
    <cfRule type="cellIs" dxfId="6585" priority="1197" stopIfTrue="1" operator="notBetween">
      <formula>$B$2</formula>
      <formula>$B$3</formula>
    </cfRule>
  </conditionalFormatting>
  <conditionalFormatting sqref="C4">
    <cfRule type="cellIs" dxfId="6584" priority="1198" operator="greaterThan">
      <formula>$E$3</formula>
    </cfRule>
    <cfRule type="cellIs" dxfId="6583" priority="1199" operator="equal">
      <formula>$E$3</formula>
    </cfRule>
    <cfRule type="cellIs" dxfId="6582" priority="1200" operator="lessThan">
      <formula>$E$3</formula>
    </cfRule>
  </conditionalFormatting>
  <conditionalFormatting sqref="J23:J29 J14:J20 J5:J11 J50:J51 L5:N11 L14:M20 L23:M29 J41:J47 L50:N51 J32:J38 L32:M38 N15:N16 N18 L41:N47">
    <cfRule type="cellIs" dxfId="6581" priority="1196" stopIfTrue="1" operator="lessThan">
      <formula>0</formula>
    </cfRule>
  </conditionalFormatting>
  <conditionalFormatting sqref="J5:J11 J50:J51 L5:M11 L50:M51 J14:J20 J23:J29 J41:J47 J32:J38 L14:M20 L23:M29 L32:M38 L41:M47">
    <cfRule type="expression" dxfId="6580" priority="1194">
      <formula>$C5&lt;$E$3</formula>
    </cfRule>
  </conditionalFormatting>
  <conditionalFormatting sqref="J5:J11 J50:J51 L5:M11 L50:M51 J14:J20 J23:J29 J41:J47 J32:J38 L14:M20 L23:M29 L32:M38 L41:M47">
    <cfRule type="expression" dxfId="6579" priority="1191">
      <formula>$C5=$E$3</formula>
    </cfRule>
    <cfRule type="expression" dxfId="6578" priority="1192">
      <formula>$C5&lt;$E$3</formula>
    </cfRule>
    <cfRule type="cellIs" dxfId="6577" priority="1193" operator="equal">
      <formula>0</formula>
    </cfRule>
    <cfRule type="expression" dxfId="6576" priority="1195">
      <formula>$C5&gt;$E$3</formula>
    </cfRule>
  </conditionalFormatting>
  <conditionalFormatting sqref="J5:J11 J50:J51 L5:M11 L50:M51 J14:J20 J23:J29 J41:J47 J32:J38 L14:M20 L23:M29 L32:M38 L41:M47">
    <cfRule type="expression" dxfId="6575" priority="1190">
      <formula>$E5=""</formula>
    </cfRule>
  </conditionalFormatting>
  <conditionalFormatting sqref="J5:J11 J50:J51 L5:M11 L50:M51 J23:J29 J41:J47 J32:J38 J14:J20 L14:M20 L23:M29 L32:M38 L41:M47">
    <cfRule type="expression" dxfId="6574" priority="1189">
      <formula>$E5=""</formula>
    </cfRule>
  </conditionalFormatting>
  <conditionalFormatting sqref="J5:J11 J50:J51 L5:M11 L50:M51 J23:J29 J41:J47 J32:J38 J14:J20 L14:M20 L23:M29 L32:M38 L41:M47">
    <cfRule type="expression" dxfId="6573" priority="1188">
      <formula>$E5=""</formula>
    </cfRule>
  </conditionalFormatting>
  <conditionalFormatting sqref="M5:M11 M14:M20 M23:M29 M32:M38 M41:M47 M50:M51">
    <cfRule type="expression" dxfId="6572" priority="1187">
      <formula>$C5&lt;$E$3</formula>
    </cfRule>
  </conditionalFormatting>
  <conditionalFormatting sqref="M5:M11 M14:M20 M23:M29 M32:M38 M41:M47 M50:M51">
    <cfRule type="expression" dxfId="6571" priority="1183">
      <formula>$C5=$E$3</formula>
    </cfRule>
    <cfRule type="expression" dxfId="6570" priority="1184">
      <formula>$C5&lt;$E$3</formula>
    </cfRule>
    <cfRule type="cellIs" dxfId="6569" priority="1185" operator="equal">
      <formula>0</formula>
    </cfRule>
    <cfRule type="expression" dxfId="6568" priority="1186">
      <formula>$C5&gt;$E$3</formula>
    </cfRule>
  </conditionalFormatting>
  <conditionalFormatting sqref="M5:M11 M14:M20 M23:M29 M32:M38 M41:M47 M50:M51">
    <cfRule type="expression" dxfId="6567" priority="1182">
      <formula>$C5&lt;$E$3</formula>
    </cfRule>
  </conditionalFormatting>
  <conditionalFormatting sqref="M5:M11 M14:M20 M23:M29 M32:M38 M41:M47 M50:M51">
    <cfRule type="expression" dxfId="6566" priority="1178">
      <formula>$C5=$E$3</formula>
    </cfRule>
    <cfRule type="expression" dxfId="6565" priority="1179">
      <formula>$C5&lt;$E$3</formula>
    </cfRule>
    <cfRule type="cellIs" dxfId="6564" priority="1180" operator="equal">
      <formula>0</formula>
    </cfRule>
    <cfRule type="expression" dxfId="6563" priority="1181">
      <formula>$C5&gt;$E$3</formula>
    </cfRule>
  </conditionalFormatting>
  <conditionalFormatting sqref="M5:M11 M14:M20 M23:M29 M32:M38 M41:M47 M50:M51">
    <cfRule type="expression" dxfId="6562" priority="1177">
      <formula>$C5&lt;$E$3</formula>
    </cfRule>
  </conditionalFormatting>
  <conditionalFormatting sqref="M5:M11 M14:M20 M23:M29 M32:M38 M41:M47 M50:M51">
    <cfRule type="expression" dxfId="6561" priority="1173">
      <formula>$C5=$E$3</formula>
    </cfRule>
    <cfRule type="expression" dxfId="6560" priority="1174">
      <formula>$C5&lt;$E$3</formula>
    </cfRule>
    <cfRule type="cellIs" dxfId="6559" priority="1175" operator="equal">
      <formula>0</formula>
    </cfRule>
    <cfRule type="expression" dxfId="6558" priority="1176">
      <formula>$C5&gt;$E$3</formula>
    </cfRule>
  </conditionalFormatting>
  <conditionalFormatting sqref="M5:M11 M14:M20 M23:M29 M32:M38 M41:M47 M50:M51">
    <cfRule type="expression" dxfId="6557" priority="1172">
      <formula>$C5&lt;$E$3</formula>
    </cfRule>
  </conditionalFormatting>
  <conditionalFormatting sqref="M5:M11 M14:M20 M23:M29 M32:M38 M41:M47 M50:M51">
    <cfRule type="expression" dxfId="6556" priority="1168">
      <formula>$C5=$E$3</formula>
    </cfRule>
    <cfRule type="expression" dxfId="6555" priority="1169">
      <formula>$C5&lt;$E$3</formula>
    </cfRule>
    <cfRule type="cellIs" dxfId="6554" priority="1170" operator="equal">
      <formula>0</formula>
    </cfRule>
    <cfRule type="expression" dxfId="6553" priority="1171">
      <formula>$C5&gt;$E$3</formula>
    </cfRule>
  </conditionalFormatting>
  <conditionalFormatting sqref="M5:M11 M14:M20 M23:M29 M32:M38 M41:M47 M50:M51">
    <cfRule type="expression" dxfId="6552" priority="1167">
      <formula>$E5=""</formula>
    </cfRule>
  </conditionalFormatting>
  <conditionalFormatting sqref="M5:M11 M14:M20 M23:M29 M32:M38 M41:M47 M50:M51">
    <cfRule type="expression" dxfId="6551" priority="1166">
      <formula>$C5&lt;$E$3</formula>
    </cfRule>
  </conditionalFormatting>
  <conditionalFormatting sqref="M5:M11 M14:M20 M23:M29 M32:M38 M41:M47 M50:M51">
    <cfRule type="expression" dxfId="6550" priority="1165">
      <formula>$E5=""</formula>
    </cfRule>
  </conditionalFormatting>
  <conditionalFormatting sqref="M5:M11 M23:M29 M32:M38 M41:M47 M50:M51 M14:M20">
    <cfRule type="expression" dxfId="6549" priority="1164">
      <formula>$E5=""</formula>
    </cfRule>
  </conditionalFormatting>
  <conditionalFormatting sqref="M5:M11 M14:M20 M23:M29 M32:M38 M41:M47 M50:M51">
    <cfRule type="expression" dxfId="6548" priority="1163">
      <formula>$C5&lt;$E$3</formula>
    </cfRule>
  </conditionalFormatting>
  <conditionalFormatting sqref="M5:M11 M14:M20 M23:M29 M32:M38 M41:M47 M50:M51">
    <cfRule type="expression" dxfId="6547" priority="1162">
      <formula>$E5=""</formula>
    </cfRule>
  </conditionalFormatting>
  <conditionalFormatting sqref="M5:M11 M14:M20 M23:M29 M32:M38 M41:M47 M50:M51">
    <cfRule type="expression" dxfId="6546" priority="1161">
      <formula>$C5&lt;$E$3</formula>
    </cfRule>
  </conditionalFormatting>
  <conditionalFormatting sqref="M5:M11 M14:M20 M23:M29 M32:M38 M41:M47 M50:M51">
    <cfRule type="expression" dxfId="6545" priority="1160">
      <formula>$E5=""</formula>
    </cfRule>
  </conditionalFormatting>
  <conditionalFormatting sqref="M5:M11 M14:M20 M23:M29 M32:M38 M41:M47 M50:M51">
    <cfRule type="expression" dxfId="6544" priority="1159">
      <formula>$C5&lt;$E$3</formula>
    </cfRule>
  </conditionalFormatting>
  <conditionalFormatting sqref="M5:M11 M14:M20 M23:M29 M32:M38 M41:M47 M50:M51">
    <cfRule type="expression" dxfId="6543" priority="1158">
      <formula>$E5=""</formula>
    </cfRule>
  </conditionalFormatting>
  <conditionalFormatting sqref="M5:M11 M14:M20 M23:M29 M32:M38 M41:M47 M50:M51">
    <cfRule type="expression" dxfId="6542" priority="1157">
      <formula>$C5&lt;$E$3</formula>
    </cfRule>
  </conditionalFormatting>
  <conditionalFormatting sqref="M5:M11 M14:M20 M23:M29 M32:M38 M41:M47 M50:M51">
    <cfRule type="expression" dxfId="6541" priority="1153">
      <formula>$C5=$E$3</formula>
    </cfRule>
    <cfRule type="expression" dxfId="6540" priority="1154">
      <formula>$C5&lt;$E$3</formula>
    </cfRule>
    <cfRule type="cellIs" dxfId="6539" priority="1155" operator="equal">
      <formula>0</formula>
    </cfRule>
    <cfRule type="expression" dxfId="6538" priority="1156">
      <formula>$C5&gt;$E$3</formula>
    </cfRule>
  </conditionalFormatting>
  <conditionalFormatting sqref="M5:M11 M14:M20 M23:M29 M32:M38 M41:M47 M50:M51">
    <cfRule type="expression" dxfId="6537" priority="1152">
      <formula>$C5&lt;$E$3</formula>
    </cfRule>
  </conditionalFormatting>
  <conditionalFormatting sqref="M5:M11 M14:M20 M23:M29 M32:M38 M41:M47 M50:M51">
    <cfRule type="expression" dxfId="6536" priority="1148">
      <formula>$C5=$E$3</formula>
    </cfRule>
    <cfRule type="expression" dxfId="6535" priority="1149">
      <formula>$C5&lt;$E$3</formula>
    </cfRule>
    <cfRule type="cellIs" dxfId="6534" priority="1150" operator="equal">
      <formula>0</formula>
    </cfRule>
    <cfRule type="expression" dxfId="6533" priority="1151">
      <formula>$C5&gt;$E$3</formula>
    </cfRule>
  </conditionalFormatting>
  <conditionalFormatting sqref="M5:M11 M14:M20 M23:M29 M32:M38 M41:M47 M50:M51">
    <cfRule type="expression" dxfId="6532" priority="1147">
      <formula>$C5&lt;$E$3</formula>
    </cfRule>
  </conditionalFormatting>
  <conditionalFormatting sqref="M5:M11 M14:M20 M23:M29 M32:M38 M41:M47 M50:M51">
    <cfRule type="expression" dxfId="6531" priority="1143">
      <formula>$C5=$E$3</formula>
    </cfRule>
    <cfRule type="expression" dxfId="6530" priority="1144">
      <formula>$C5&lt;$E$3</formula>
    </cfRule>
    <cfRule type="cellIs" dxfId="6529" priority="1145" operator="equal">
      <formula>0</formula>
    </cfRule>
    <cfRule type="expression" dxfId="6528" priority="1146">
      <formula>$C5&gt;$E$3</formula>
    </cfRule>
  </conditionalFormatting>
  <conditionalFormatting sqref="M5:M11 M14:M20 M23:M29 M32:M38 M41:M47 M50:M51">
    <cfRule type="expression" dxfId="6527" priority="1142">
      <formula>$C5&lt;$E$3</formula>
    </cfRule>
  </conditionalFormatting>
  <conditionalFormatting sqref="M5:M11 M14:M20 M23:M29 M32:M38 M41:M47 M50:M51">
    <cfRule type="expression" dxfId="6526" priority="1138">
      <formula>$C5=$E$3</formula>
    </cfRule>
    <cfRule type="expression" dxfId="6525" priority="1139">
      <formula>$C5&lt;$E$3</formula>
    </cfRule>
    <cfRule type="cellIs" dxfId="6524" priority="1140" operator="equal">
      <formula>0</formula>
    </cfRule>
    <cfRule type="expression" dxfId="6523" priority="1141">
      <formula>$C5&gt;$E$3</formula>
    </cfRule>
  </conditionalFormatting>
  <conditionalFormatting sqref="M5:M11 M14:M20 M23:M29 M32:M38 M41:M47 M50:M51">
    <cfRule type="expression" dxfId="6522" priority="1137">
      <formula>$E5=""</formula>
    </cfRule>
  </conditionalFormatting>
  <conditionalFormatting sqref="M5:M11 M14:M20 M23:M29 M32:M38 M41:M47 M50:M51">
    <cfRule type="expression" dxfId="6521" priority="1136">
      <formula>$C5&lt;$E$3</formula>
    </cfRule>
  </conditionalFormatting>
  <conditionalFormatting sqref="M5:M11 M14:M20 M23:M29 M32:M38 M41:M47 M50:M51">
    <cfRule type="expression" dxfId="6520" priority="1135">
      <formula>$E5=""</formula>
    </cfRule>
  </conditionalFormatting>
  <conditionalFormatting sqref="M5:M11 M23:M29 M32:M38 M41:M47 M50:M51 M14:M20">
    <cfRule type="expression" dxfId="6519" priority="1134">
      <formula>$E5=""</formula>
    </cfRule>
  </conditionalFormatting>
  <conditionalFormatting sqref="M5:M11 M14:M20 M23:M29 M32:M38 M41:M47 M50:M51">
    <cfRule type="expression" dxfId="6518" priority="1133">
      <formula>$C5&lt;$E$3</formula>
    </cfRule>
  </conditionalFormatting>
  <conditionalFormatting sqref="M5:M11 M14:M20 M23:M29 M32:M38 M41:M47 M50:M51">
    <cfRule type="expression" dxfId="6517" priority="1132">
      <formula>$E5=""</formula>
    </cfRule>
  </conditionalFormatting>
  <conditionalFormatting sqref="M5:M11 M14:M20 M23:M29 M32:M38 M41:M47 M50:M51">
    <cfRule type="expression" dxfId="6516" priority="1131">
      <formula>$C5&lt;$E$3</formula>
    </cfRule>
  </conditionalFormatting>
  <conditionalFormatting sqref="M5:M11 M14:M20 M23:M29 M32:M38 M41:M47 M50:M51">
    <cfRule type="expression" dxfId="6515" priority="1130">
      <formula>$E5=""</formula>
    </cfRule>
  </conditionalFormatting>
  <conditionalFormatting sqref="M5:M11 M14:M20 M23:M29 M32:M38 M41:M47 M50:M51">
    <cfRule type="expression" dxfId="6514" priority="1129">
      <formula>$C5&lt;$E$3</formula>
    </cfRule>
  </conditionalFormatting>
  <conditionalFormatting sqref="M5:M11 M14:M20 M23:M29 M32:M38 M41:M47 M50:M51">
    <cfRule type="expression" dxfId="6513" priority="1128">
      <formula>$E5=""</formula>
    </cfRule>
  </conditionalFormatting>
  <conditionalFormatting sqref="K37">
    <cfRule type="expression" dxfId="6512" priority="335">
      <formula>$C37&lt;$E$3</formula>
    </cfRule>
  </conditionalFormatting>
  <conditionalFormatting sqref="K37">
    <cfRule type="expression" dxfId="6511" priority="331">
      <formula>$C37=$E$3</formula>
    </cfRule>
    <cfRule type="expression" dxfId="6510" priority="332">
      <formula>$C37&lt;$E$3</formula>
    </cfRule>
    <cfRule type="cellIs" dxfId="6509" priority="333" operator="equal">
      <formula>0</formula>
    </cfRule>
    <cfRule type="expression" dxfId="6508" priority="334">
      <formula>$C37&gt;$E$3</formula>
    </cfRule>
  </conditionalFormatting>
  <conditionalFormatting sqref="K37">
    <cfRule type="expression" dxfId="6507" priority="330">
      <formula>$C37&lt;$E$3</formula>
    </cfRule>
  </conditionalFormatting>
  <conditionalFormatting sqref="K37">
    <cfRule type="expression" dxfId="6506" priority="326">
      <formula>$C37=$E$3</formula>
    </cfRule>
    <cfRule type="expression" dxfId="6505" priority="327">
      <formula>$C37&lt;$E$3</formula>
    </cfRule>
    <cfRule type="cellIs" dxfId="6504" priority="328" operator="equal">
      <formula>0</formula>
    </cfRule>
    <cfRule type="expression" dxfId="6503" priority="329">
      <formula>$C37&gt;$E$3</formula>
    </cfRule>
  </conditionalFormatting>
  <conditionalFormatting sqref="K37">
    <cfRule type="expression" dxfId="6502" priority="305">
      <formula>$C37&lt;$E$3</formula>
    </cfRule>
  </conditionalFormatting>
  <conditionalFormatting sqref="K37">
    <cfRule type="expression" dxfId="6501" priority="301">
      <formula>$C37=$E$3</formula>
    </cfRule>
    <cfRule type="expression" dxfId="6500" priority="302">
      <formula>$C37&lt;$E$3</formula>
    </cfRule>
    <cfRule type="cellIs" dxfId="6499" priority="303" operator="equal">
      <formula>0</formula>
    </cfRule>
    <cfRule type="expression" dxfId="6498" priority="304">
      <formula>$C37&gt;$E$3</formula>
    </cfRule>
  </conditionalFormatting>
  <conditionalFormatting sqref="K37">
    <cfRule type="expression" dxfId="6497" priority="300">
      <formula>$C37&lt;$E$3</formula>
    </cfRule>
  </conditionalFormatting>
  <conditionalFormatting sqref="K37">
    <cfRule type="expression" dxfId="6496" priority="296">
      <formula>$C37=$E$3</formula>
    </cfRule>
    <cfRule type="expression" dxfId="6495" priority="297">
      <formula>$C37&lt;$E$3</formula>
    </cfRule>
    <cfRule type="cellIs" dxfId="6494" priority="298" operator="equal">
      <formula>0</formula>
    </cfRule>
    <cfRule type="expression" dxfId="6493" priority="299">
      <formula>$C37&gt;$E$3</formula>
    </cfRule>
  </conditionalFormatting>
  <conditionalFormatting sqref="K32:K36">
    <cfRule type="expression" dxfId="6492" priority="275">
      <formula>$C32&lt;$E$3</formula>
    </cfRule>
  </conditionalFormatting>
  <conditionalFormatting sqref="K32:K36">
    <cfRule type="expression" dxfId="6491" priority="271">
      <formula>$C32=$E$3</formula>
    </cfRule>
    <cfRule type="expression" dxfId="6490" priority="272">
      <formula>$C32&lt;$E$3</formula>
    </cfRule>
    <cfRule type="cellIs" dxfId="6489" priority="273" operator="equal">
      <formula>0</formula>
    </cfRule>
    <cfRule type="expression" dxfId="6488" priority="274">
      <formula>$C32&gt;$E$3</formula>
    </cfRule>
  </conditionalFormatting>
  <conditionalFormatting sqref="K32:K36">
    <cfRule type="expression" dxfId="6487" priority="270">
      <formula>$C32&lt;$E$3</formula>
    </cfRule>
  </conditionalFormatting>
  <conditionalFormatting sqref="K32:K36">
    <cfRule type="expression" dxfId="6486" priority="266">
      <formula>$C32=$E$3</formula>
    </cfRule>
    <cfRule type="expression" dxfId="6485" priority="267">
      <formula>$C32&lt;$E$3</formula>
    </cfRule>
    <cfRule type="cellIs" dxfId="6484" priority="268" operator="equal">
      <formula>0</formula>
    </cfRule>
    <cfRule type="expression" dxfId="6483" priority="269">
      <formula>$C32&gt;$E$3</formula>
    </cfRule>
  </conditionalFormatting>
  <conditionalFormatting sqref="H23:H29 H32 H14:H20 H11">
    <cfRule type="cellIs" dxfId="6482" priority="1007" stopIfTrue="1" operator="lessThan">
      <formula>0</formula>
    </cfRule>
  </conditionalFormatting>
  <conditionalFormatting sqref="H12">
    <cfRule type="expression" dxfId="6481" priority="1006">
      <formula>$F12&gt;=$F13</formula>
    </cfRule>
  </conditionalFormatting>
  <conditionalFormatting sqref="H21">
    <cfRule type="expression" dxfId="6480" priority="1005">
      <formula>$F21&gt;=$F22</formula>
    </cfRule>
  </conditionalFormatting>
  <conditionalFormatting sqref="H30">
    <cfRule type="expression" dxfId="6479" priority="1004">
      <formula>$F30&gt;=$F31</formula>
    </cfRule>
  </conditionalFormatting>
  <conditionalFormatting sqref="H12">
    <cfRule type="expression" dxfId="6478" priority="1003">
      <formula>$F12&gt;=$F13</formula>
    </cfRule>
  </conditionalFormatting>
  <conditionalFormatting sqref="H21">
    <cfRule type="expression" dxfId="6477" priority="1002">
      <formula>$F21&gt;=$F22</formula>
    </cfRule>
  </conditionalFormatting>
  <conditionalFormatting sqref="H30">
    <cfRule type="expression" dxfId="6476" priority="1001">
      <formula>$F30&gt;=$F31</formula>
    </cfRule>
  </conditionalFormatting>
  <conditionalFormatting sqref="H11">
    <cfRule type="expression" dxfId="6475" priority="999">
      <formula>$C11&lt;$E$3</formula>
    </cfRule>
  </conditionalFormatting>
  <conditionalFormatting sqref="H11">
    <cfRule type="expression" dxfId="6474" priority="996">
      <formula>$C11=$E$3</formula>
    </cfRule>
    <cfRule type="expression" dxfId="6473" priority="997">
      <formula>$C11&lt;$E$3</formula>
    </cfRule>
    <cfRule type="cellIs" dxfId="6472" priority="998" operator="equal">
      <formula>0</formula>
    </cfRule>
    <cfRule type="expression" dxfId="6471" priority="1000">
      <formula>$C11&gt;$E$3</formula>
    </cfRule>
  </conditionalFormatting>
  <conditionalFormatting sqref="H11">
    <cfRule type="expression" dxfId="6470" priority="995">
      <formula>$C11&lt;$E$3</formula>
    </cfRule>
  </conditionalFormatting>
  <conditionalFormatting sqref="H11">
    <cfRule type="expression" dxfId="6469" priority="991">
      <formula>$C11=$E$3</formula>
    </cfRule>
    <cfRule type="expression" dxfId="6468" priority="992">
      <formula>$C11&lt;$E$3</formula>
    </cfRule>
    <cfRule type="cellIs" dxfId="6467" priority="993" operator="equal">
      <formula>0</formula>
    </cfRule>
    <cfRule type="expression" dxfId="6466" priority="994">
      <formula>$C11&gt;$E$3</formula>
    </cfRule>
  </conditionalFormatting>
  <conditionalFormatting sqref="H11">
    <cfRule type="expression" dxfId="6465" priority="990">
      <formula>$C11&lt;$E$3</formula>
    </cfRule>
  </conditionalFormatting>
  <conditionalFormatting sqref="H11">
    <cfRule type="expression" dxfId="6464" priority="986">
      <formula>$C11=$E$3</formula>
    </cfRule>
    <cfRule type="expression" dxfId="6463" priority="987">
      <formula>$C11&lt;$E$3</formula>
    </cfRule>
    <cfRule type="cellIs" dxfId="6462" priority="988" operator="equal">
      <formula>0</formula>
    </cfRule>
    <cfRule type="expression" dxfId="6461" priority="989">
      <formula>$C11&gt;$E$3</formula>
    </cfRule>
  </conditionalFormatting>
  <conditionalFormatting sqref="H11">
    <cfRule type="expression" dxfId="6460" priority="985">
      <formula>$C11&lt;$E$3</formula>
    </cfRule>
  </conditionalFormatting>
  <conditionalFormatting sqref="H11">
    <cfRule type="expression" dxfId="6459" priority="981">
      <formula>$C11=$E$3</formula>
    </cfRule>
    <cfRule type="expression" dxfId="6458" priority="982">
      <formula>$C11&lt;$E$3</formula>
    </cfRule>
    <cfRule type="cellIs" dxfId="6457" priority="983" operator="equal">
      <formula>0</formula>
    </cfRule>
    <cfRule type="expression" dxfId="6456" priority="984">
      <formula>$C11&gt;$E$3</formula>
    </cfRule>
  </conditionalFormatting>
  <conditionalFormatting sqref="H11">
    <cfRule type="expression" dxfId="6455" priority="980">
      <formula>$E11=""</formula>
    </cfRule>
  </conditionalFormatting>
  <conditionalFormatting sqref="H11">
    <cfRule type="expression" dxfId="6454" priority="979">
      <formula>$C11&lt;$E$3</formula>
    </cfRule>
  </conditionalFormatting>
  <conditionalFormatting sqref="H11">
    <cfRule type="expression" dxfId="6453" priority="978">
      <formula>$E11=""</formula>
    </cfRule>
  </conditionalFormatting>
  <conditionalFormatting sqref="H11">
    <cfRule type="expression" dxfId="6452" priority="977">
      <formula>$E11=""</formula>
    </cfRule>
  </conditionalFormatting>
  <conditionalFormatting sqref="H11">
    <cfRule type="expression" dxfId="6451" priority="976">
      <formula>$C11&lt;$E$3</formula>
    </cfRule>
  </conditionalFormatting>
  <conditionalFormatting sqref="H11">
    <cfRule type="expression" dxfId="6450" priority="975">
      <formula>$E11=""</formula>
    </cfRule>
  </conditionalFormatting>
  <conditionalFormatting sqref="H11">
    <cfRule type="expression" dxfId="6449" priority="974">
      <formula>$C11&lt;$E$3</formula>
    </cfRule>
  </conditionalFormatting>
  <conditionalFormatting sqref="H11">
    <cfRule type="expression" dxfId="6448" priority="973">
      <formula>$E11=""</formula>
    </cfRule>
  </conditionalFormatting>
  <conditionalFormatting sqref="H11">
    <cfRule type="expression" dxfId="6447" priority="972">
      <formula>$C11&lt;$E$3</formula>
    </cfRule>
  </conditionalFormatting>
  <conditionalFormatting sqref="H11">
    <cfRule type="expression" dxfId="6446" priority="971">
      <formula>$E11=""</formula>
    </cfRule>
  </conditionalFormatting>
  <conditionalFormatting sqref="H14:H20">
    <cfRule type="expression" dxfId="6445" priority="969">
      <formula>$C14&lt;$E$3</formula>
    </cfRule>
  </conditionalFormatting>
  <conditionalFormatting sqref="H14:H20">
    <cfRule type="expression" dxfId="6444" priority="966">
      <formula>$C14=$E$3</formula>
    </cfRule>
    <cfRule type="expression" dxfId="6443" priority="967">
      <formula>$C14&lt;$E$3</formula>
    </cfRule>
    <cfRule type="cellIs" dxfId="6442" priority="968" operator="equal">
      <formula>0</formula>
    </cfRule>
    <cfRule type="expression" dxfId="6441" priority="970">
      <formula>$C14&gt;$E$3</formula>
    </cfRule>
  </conditionalFormatting>
  <conditionalFormatting sqref="H14:H20">
    <cfRule type="expression" dxfId="6440" priority="965">
      <formula>$C14&lt;$E$3</formula>
    </cfRule>
  </conditionalFormatting>
  <conditionalFormatting sqref="H14:H20">
    <cfRule type="expression" dxfId="6439" priority="961">
      <formula>$C14=$E$3</formula>
    </cfRule>
    <cfRule type="expression" dxfId="6438" priority="962">
      <formula>$C14&lt;$E$3</formula>
    </cfRule>
    <cfRule type="cellIs" dxfId="6437" priority="963" operator="equal">
      <formula>0</formula>
    </cfRule>
    <cfRule type="expression" dxfId="6436" priority="964">
      <formula>$C14&gt;$E$3</formula>
    </cfRule>
  </conditionalFormatting>
  <conditionalFormatting sqref="H14:H20">
    <cfRule type="expression" dxfId="6435" priority="960">
      <formula>$C14&lt;$E$3</formula>
    </cfRule>
  </conditionalFormatting>
  <conditionalFormatting sqref="H14:H20">
    <cfRule type="expression" dxfId="6434" priority="956">
      <formula>$C14=$E$3</formula>
    </cfRule>
    <cfRule type="expression" dxfId="6433" priority="957">
      <formula>$C14&lt;$E$3</formula>
    </cfRule>
    <cfRule type="cellIs" dxfId="6432" priority="958" operator="equal">
      <formula>0</formula>
    </cfRule>
    <cfRule type="expression" dxfId="6431" priority="959">
      <formula>$C14&gt;$E$3</formula>
    </cfRule>
  </conditionalFormatting>
  <conditionalFormatting sqref="H14:H20">
    <cfRule type="expression" dxfId="6430" priority="955">
      <formula>$C14&lt;$E$3</formula>
    </cfRule>
  </conditionalFormatting>
  <conditionalFormatting sqref="H14:H20">
    <cfRule type="expression" dxfId="6429" priority="951">
      <formula>$C14=$E$3</formula>
    </cfRule>
    <cfRule type="expression" dxfId="6428" priority="952">
      <formula>$C14&lt;$E$3</formula>
    </cfRule>
    <cfRule type="cellIs" dxfId="6427" priority="953" operator="equal">
      <formula>0</formula>
    </cfRule>
    <cfRule type="expression" dxfId="6426" priority="954">
      <formula>$C14&gt;$E$3</formula>
    </cfRule>
  </conditionalFormatting>
  <conditionalFormatting sqref="H14:H20">
    <cfRule type="expression" dxfId="6425" priority="950">
      <formula>$E14=""</formula>
    </cfRule>
  </conditionalFormatting>
  <conditionalFormatting sqref="H14:H20">
    <cfRule type="expression" dxfId="6424" priority="949">
      <formula>$C14&lt;$E$3</formula>
    </cfRule>
  </conditionalFormatting>
  <conditionalFormatting sqref="H14:H20">
    <cfRule type="expression" dxfId="6423" priority="948">
      <formula>$E14=""</formula>
    </cfRule>
  </conditionalFormatting>
  <conditionalFormatting sqref="H14:H20">
    <cfRule type="expression" dxfId="6422" priority="947">
      <formula>$E14=""</formula>
    </cfRule>
  </conditionalFormatting>
  <conditionalFormatting sqref="H14:H20">
    <cfRule type="expression" dxfId="6421" priority="946">
      <formula>$C14&lt;$E$3</formula>
    </cfRule>
  </conditionalFormatting>
  <conditionalFormatting sqref="H14:H20">
    <cfRule type="expression" dxfId="6420" priority="945">
      <formula>$E14=""</formula>
    </cfRule>
  </conditionalFormatting>
  <conditionalFormatting sqref="H14:H20">
    <cfRule type="expression" dxfId="6419" priority="944">
      <formula>$C14&lt;$E$3</formula>
    </cfRule>
  </conditionalFormatting>
  <conditionalFormatting sqref="H14:H20">
    <cfRule type="expression" dxfId="6418" priority="943">
      <formula>$E14=""</formula>
    </cfRule>
  </conditionalFormatting>
  <conditionalFormatting sqref="H14:H20">
    <cfRule type="expression" dxfId="6417" priority="942">
      <formula>$C14&lt;$E$3</formula>
    </cfRule>
  </conditionalFormatting>
  <conditionalFormatting sqref="H14:H20">
    <cfRule type="expression" dxfId="6416" priority="941">
      <formula>$E14=""</formula>
    </cfRule>
  </conditionalFormatting>
  <conditionalFormatting sqref="H23:H29">
    <cfRule type="expression" dxfId="6415" priority="939">
      <formula>$C23&lt;$E$3</formula>
    </cfRule>
  </conditionalFormatting>
  <conditionalFormatting sqref="H23:H29">
    <cfRule type="expression" dxfId="6414" priority="936">
      <formula>$C23=$E$3</formula>
    </cfRule>
    <cfRule type="expression" dxfId="6413" priority="937">
      <formula>$C23&lt;$E$3</formula>
    </cfRule>
    <cfRule type="cellIs" dxfId="6412" priority="938" operator="equal">
      <formula>0</formula>
    </cfRule>
    <cfRule type="expression" dxfId="6411" priority="940">
      <formula>$C23&gt;$E$3</formula>
    </cfRule>
  </conditionalFormatting>
  <conditionalFormatting sqref="H23:H29">
    <cfRule type="expression" dxfId="6410" priority="935">
      <formula>$C23&lt;$E$3</formula>
    </cfRule>
  </conditionalFormatting>
  <conditionalFormatting sqref="H23:H29">
    <cfRule type="expression" dxfId="6409" priority="931">
      <formula>$C23=$E$3</formula>
    </cfRule>
    <cfRule type="expression" dxfId="6408" priority="932">
      <formula>$C23&lt;$E$3</formula>
    </cfRule>
    <cfRule type="cellIs" dxfId="6407" priority="933" operator="equal">
      <formula>0</formula>
    </cfRule>
    <cfRule type="expression" dxfId="6406" priority="934">
      <formula>$C23&gt;$E$3</formula>
    </cfRule>
  </conditionalFormatting>
  <conditionalFormatting sqref="H23:H29">
    <cfRule type="expression" dxfId="6405" priority="930">
      <formula>$C23&lt;$E$3</formula>
    </cfRule>
  </conditionalFormatting>
  <conditionalFormatting sqref="H23:H29">
    <cfRule type="expression" dxfId="6404" priority="926">
      <formula>$C23=$E$3</formula>
    </cfRule>
    <cfRule type="expression" dxfId="6403" priority="927">
      <formula>$C23&lt;$E$3</formula>
    </cfRule>
    <cfRule type="cellIs" dxfId="6402" priority="928" operator="equal">
      <formula>0</formula>
    </cfRule>
    <cfRule type="expression" dxfId="6401" priority="929">
      <formula>$C23&gt;$E$3</formula>
    </cfRule>
  </conditionalFormatting>
  <conditionalFormatting sqref="H23:H29">
    <cfRule type="expression" dxfId="6400" priority="925">
      <formula>$C23&lt;$E$3</formula>
    </cfRule>
  </conditionalFormatting>
  <conditionalFormatting sqref="H23:H29">
    <cfRule type="expression" dxfId="6399" priority="921">
      <formula>$C23=$E$3</formula>
    </cfRule>
    <cfRule type="expression" dxfId="6398" priority="922">
      <formula>$C23&lt;$E$3</formula>
    </cfRule>
    <cfRule type="cellIs" dxfId="6397" priority="923" operator="equal">
      <formula>0</formula>
    </cfRule>
    <cfRule type="expression" dxfId="6396" priority="924">
      <formula>$C23&gt;$E$3</formula>
    </cfRule>
  </conditionalFormatting>
  <conditionalFormatting sqref="H23:H29">
    <cfRule type="expression" dxfId="6395" priority="920">
      <formula>$E23=""</formula>
    </cfRule>
  </conditionalFormatting>
  <conditionalFormatting sqref="H23:H29">
    <cfRule type="expression" dxfId="6394" priority="919">
      <formula>$C23&lt;$E$3</formula>
    </cfRule>
  </conditionalFormatting>
  <conditionalFormatting sqref="H23:H29">
    <cfRule type="expression" dxfId="6393" priority="918">
      <formula>$E23=""</formula>
    </cfRule>
  </conditionalFormatting>
  <conditionalFormatting sqref="H23:H29">
    <cfRule type="expression" dxfId="6392" priority="917">
      <formula>$E23=""</formula>
    </cfRule>
  </conditionalFormatting>
  <conditionalFormatting sqref="H23:H29">
    <cfRule type="expression" dxfId="6391" priority="916">
      <formula>$C23&lt;$E$3</formula>
    </cfRule>
  </conditionalFormatting>
  <conditionalFormatting sqref="H23:H29">
    <cfRule type="expression" dxfId="6390" priority="915">
      <formula>$E23=""</formula>
    </cfRule>
  </conditionalFormatting>
  <conditionalFormatting sqref="H23:H29">
    <cfRule type="expression" dxfId="6389" priority="914">
      <formula>$C23&lt;$E$3</formula>
    </cfRule>
  </conditionalFormatting>
  <conditionalFormatting sqref="H23:H29">
    <cfRule type="expression" dxfId="6388" priority="913">
      <formula>$E23=""</formula>
    </cfRule>
  </conditionalFormatting>
  <conditionalFormatting sqref="H23:H29">
    <cfRule type="expression" dxfId="6387" priority="912">
      <formula>$C23&lt;$E$3</formula>
    </cfRule>
  </conditionalFormatting>
  <conditionalFormatting sqref="H23:H29">
    <cfRule type="expression" dxfId="6386" priority="911">
      <formula>$E23=""</formula>
    </cfRule>
  </conditionalFormatting>
  <conditionalFormatting sqref="H32">
    <cfRule type="expression" dxfId="6385" priority="909">
      <formula>$C32&lt;$E$3</formula>
    </cfRule>
  </conditionalFormatting>
  <conditionalFormatting sqref="H32">
    <cfRule type="expression" dxfId="6384" priority="906">
      <formula>$C32=$E$3</formula>
    </cfRule>
    <cfRule type="expression" dxfId="6383" priority="907">
      <formula>$C32&lt;$E$3</formula>
    </cfRule>
    <cfRule type="cellIs" dxfId="6382" priority="908" operator="equal">
      <formula>0</formula>
    </cfRule>
    <cfRule type="expression" dxfId="6381" priority="910">
      <formula>$C32&gt;$E$3</formula>
    </cfRule>
  </conditionalFormatting>
  <conditionalFormatting sqref="H32">
    <cfRule type="expression" dxfId="6380" priority="905">
      <formula>$C32&lt;$E$3</formula>
    </cfRule>
  </conditionalFormatting>
  <conditionalFormatting sqref="H32">
    <cfRule type="expression" dxfId="6379" priority="901">
      <formula>$C32=$E$3</formula>
    </cfRule>
    <cfRule type="expression" dxfId="6378" priority="902">
      <formula>$C32&lt;$E$3</formula>
    </cfRule>
    <cfRule type="cellIs" dxfId="6377" priority="903" operator="equal">
      <formula>0</formula>
    </cfRule>
    <cfRule type="expression" dxfId="6376" priority="904">
      <formula>$C32&gt;$E$3</formula>
    </cfRule>
  </conditionalFormatting>
  <conditionalFormatting sqref="H32">
    <cfRule type="expression" dxfId="6375" priority="900">
      <formula>$C32&lt;$E$3</formula>
    </cfRule>
  </conditionalFormatting>
  <conditionalFormatting sqref="H32">
    <cfRule type="expression" dxfId="6374" priority="896">
      <formula>$C32=$E$3</formula>
    </cfRule>
    <cfRule type="expression" dxfId="6373" priority="897">
      <formula>$C32&lt;$E$3</formula>
    </cfRule>
    <cfRule type="cellIs" dxfId="6372" priority="898" operator="equal">
      <formula>0</formula>
    </cfRule>
    <cfRule type="expression" dxfId="6371" priority="899">
      <formula>$C32&gt;$E$3</formula>
    </cfRule>
  </conditionalFormatting>
  <conditionalFormatting sqref="H32">
    <cfRule type="expression" dxfId="6370" priority="895">
      <formula>$C32&lt;$E$3</formula>
    </cfRule>
  </conditionalFormatting>
  <conditionalFormatting sqref="H32">
    <cfRule type="expression" dxfId="6369" priority="891">
      <formula>$C32=$E$3</formula>
    </cfRule>
    <cfRule type="expression" dxfId="6368" priority="892">
      <formula>$C32&lt;$E$3</formula>
    </cfRule>
    <cfRule type="cellIs" dxfId="6367" priority="893" operator="equal">
      <formula>0</formula>
    </cfRule>
    <cfRule type="expression" dxfId="6366" priority="894">
      <formula>$C32&gt;$E$3</formula>
    </cfRule>
  </conditionalFormatting>
  <conditionalFormatting sqref="H32">
    <cfRule type="expression" dxfId="6365" priority="890">
      <formula>$E32=""</formula>
    </cfRule>
  </conditionalFormatting>
  <conditionalFormatting sqref="H32">
    <cfRule type="expression" dxfId="6364" priority="889">
      <formula>$C32&lt;$E$3</formula>
    </cfRule>
  </conditionalFormatting>
  <conditionalFormatting sqref="H32">
    <cfRule type="expression" dxfId="6363" priority="888">
      <formula>$E32=""</formula>
    </cfRule>
  </conditionalFormatting>
  <conditionalFormatting sqref="H32">
    <cfRule type="expression" dxfId="6362" priority="887">
      <formula>$E32=""</formula>
    </cfRule>
  </conditionalFormatting>
  <conditionalFormatting sqref="H32">
    <cfRule type="expression" dxfId="6361" priority="886">
      <formula>$C32&lt;$E$3</formula>
    </cfRule>
  </conditionalFormatting>
  <conditionalFormatting sqref="H32">
    <cfRule type="expression" dxfId="6360" priority="885">
      <formula>$E32=""</formula>
    </cfRule>
  </conditionalFormatting>
  <conditionalFormatting sqref="H32">
    <cfRule type="expression" dxfId="6359" priority="884">
      <formula>$C32&lt;$E$3</formula>
    </cfRule>
  </conditionalFormatting>
  <conditionalFormatting sqref="H32">
    <cfRule type="expression" dxfId="6358" priority="883">
      <formula>$E32=""</formula>
    </cfRule>
  </conditionalFormatting>
  <conditionalFormatting sqref="H32">
    <cfRule type="expression" dxfId="6357" priority="882">
      <formula>$C32&lt;$E$3</formula>
    </cfRule>
  </conditionalFormatting>
  <conditionalFormatting sqref="H32">
    <cfRule type="expression" dxfId="6356" priority="881">
      <formula>$E32=""</formula>
    </cfRule>
  </conditionalFormatting>
  <conditionalFormatting sqref="F52:H52">
    <cfRule type="expression" dxfId="6355" priority="1378" stopIfTrue="1">
      <formula>$H$52=-1E-55</formula>
    </cfRule>
    <cfRule type="expression" dxfId="6354" priority="1379">
      <formula>$F52&gt;=$F53</formula>
    </cfRule>
  </conditionalFormatting>
  <conditionalFormatting sqref="K48:K49">
    <cfRule type="cellIs" dxfId="6353" priority="879" stopIfTrue="1" operator="lessThan">
      <formula>0</formula>
    </cfRule>
  </conditionalFormatting>
  <conditionalFormatting sqref="K48:K49">
    <cfRule type="expression" dxfId="6352" priority="878">
      <formula>$C68&lt;$E$3</formula>
    </cfRule>
  </conditionalFormatting>
  <conditionalFormatting sqref="K48:K49">
    <cfRule type="expression" dxfId="6351" priority="874">
      <formula>$C68=$E$3</formula>
    </cfRule>
    <cfRule type="expression" dxfId="6350" priority="875">
      <formula>$C68&lt;$E$3</formula>
    </cfRule>
    <cfRule type="cellIs" dxfId="6349" priority="876" operator="equal">
      <formula>0</formula>
    </cfRule>
    <cfRule type="expression" dxfId="6348" priority="877">
      <formula>$C68&gt;$E$3</formula>
    </cfRule>
  </conditionalFormatting>
  <conditionalFormatting sqref="K48:K49">
    <cfRule type="expression" dxfId="6347" priority="873">
      <formula>$C68&lt;$E$3</formula>
    </cfRule>
  </conditionalFormatting>
  <conditionalFormatting sqref="K48:K49">
    <cfRule type="expression" dxfId="6346" priority="869">
      <formula>$C68=$E$3</formula>
    </cfRule>
    <cfRule type="expression" dxfId="6345" priority="870">
      <formula>$C68&lt;$E$3</formula>
    </cfRule>
    <cfRule type="cellIs" dxfId="6344" priority="871" operator="equal">
      <formula>0</formula>
    </cfRule>
    <cfRule type="expression" dxfId="6343" priority="872">
      <formula>$C68&gt;$E$3</formula>
    </cfRule>
  </conditionalFormatting>
  <conditionalFormatting sqref="K48:K49">
    <cfRule type="expression" dxfId="6342" priority="868">
      <formula>$C68&lt;$E$3</formula>
    </cfRule>
  </conditionalFormatting>
  <conditionalFormatting sqref="K48:K49">
    <cfRule type="expression" dxfId="6341" priority="864">
      <formula>$C68=$E$3</formula>
    </cfRule>
    <cfRule type="expression" dxfId="6340" priority="865">
      <formula>$C68&lt;$E$3</formula>
    </cfRule>
    <cfRule type="cellIs" dxfId="6339" priority="866" operator="equal">
      <formula>0</formula>
    </cfRule>
    <cfRule type="expression" dxfId="6338" priority="867">
      <formula>$C68&gt;$E$3</formula>
    </cfRule>
  </conditionalFormatting>
  <conditionalFormatting sqref="K48:K49">
    <cfRule type="expression" dxfId="6337" priority="863">
      <formula>$C68&lt;$E$3</formula>
    </cfRule>
  </conditionalFormatting>
  <conditionalFormatting sqref="K48:K49">
    <cfRule type="expression" dxfId="6336" priority="859">
      <formula>$C68=$E$3</formula>
    </cfRule>
    <cfRule type="expression" dxfId="6335" priority="860">
      <formula>$C68&lt;$E$3</formula>
    </cfRule>
    <cfRule type="cellIs" dxfId="6334" priority="861" operator="equal">
      <formula>0</formula>
    </cfRule>
    <cfRule type="expression" dxfId="6333" priority="862">
      <formula>$C68&gt;$E$3</formula>
    </cfRule>
  </conditionalFormatting>
  <conditionalFormatting sqref="K48:K49">
    <cfRule type="expression" dxfId="6332" priority="858">
      <formula>$E68=""</formula>
    </cfRule>
  </conditionalFormatting>
  <conditionalFormatting sqref="K48:K49">
    <cfRule type="expression" dxfId="6331" priority="857">
      <formula>$C68&lt;$E$3</formula>
    </cfRule>
  </conditionalFormatting>
  <conditionalFormatting sqref="K48:K49">
    <cfRule type="expression" dxfId="6330" priority="856">
      <formula>$E68=""</formula>
    </cfRule>
  </conditionalFormatting>
  <conditionalFormatting sqref="K48:K49">
    <cfRule type="expression" dxfId="6329" priority="855">
      <formula>$E68=""</formula>
    </cfRule>
  </conditionalFormatting>
  <conditionalFormatting sqref="K48:K49">
    <cfRule type="expression" dxfId="6328" priority="854">
      <formula>$C68&lt;$E$3</formula>
    </cfRule>
  </conditionalFormatting>
  <conditionalFormatting sqref="K48:K49">
    <cfRule type="expression" dxfId="6327" priority="853">
      <formula>$E68=""</formula>
    </cfRule>
  </conditionalFormatting>
  <conditionalFormatting sqref="K48:K49">
    <cfRule type="expression" dxfId="6326" priority="852">
      <formula>$C68&lt;$E$3</formula>
    </cfRule>
  </conditionalFormatting>
  <conditionalFormatting sqref="K48:K49">
    <cfRule type="expression" dxfId="6325" priority="851">
      <formula>$E68=""</formula>
    </cfRule>
  </conditionalFormatting>
  <conditionalFormatting sqref="K48:K49">
    <cfRule type="expression" dxfId="6324" priority="850">
      <formula>$C68&lt;$E$3</formula>
    </cfRule>
  </conditionalFormatting>
  <conditionalFormatting sqref="K48:K49">
    <cfRule type="expression" dxfId="6323" priority="849">
      <formula>$E68=""</formula>
    </cfRule>
  </conditionalFormatting>
  <conditionalFormatting sqref="K48:K49">
    <cfRule type="expression" dxfId="6322" priority="848">
      <formula>$C68&lt;$E$3</formula>
    </cfRule>
  </conditionalFormatting>
  <conditionalFormatting sqref="K48:K49">
    <cfRule type="expression" dxfId="6321" priority="844">
      <formula>$C68=$E$3</formula>
    </cfRule>
    <cfRule type="expression" dxfId="6320" priority="845">
      <formula>$C68&lt;$E$3</formula>
    </cfRule>
    <cfRule type="cellIs" dxfId="6319" priority="846" operator="equal">
      <formula>0</formula>
    </cfRule>
    <cfRule type="expression" dxfId="6318" priority="847">
      <formula>$C68&gt;$E$3</formula>
    </cfRule>
  </conditionalFormatting>
  <conditionalFormatting sqref="K48:K49">
    <cfRule type="expression" dxfId="6317" priority="843">
      <formula>$C68&lt;$E$3</formula>
    </cfRule>
  </conditionalFormatting>
  <conditionalFormatting sqref="K48:K49">
    <cfRule type="expression" dxfId="6316" priority="839">
      <formula>$C68=$E$3</formula>
    </cfRule>
    <cfRule type="expression" dxfId="6315" priority="840">
      <formula>$C68&lt;$E$3</formula>
    </cfRule>
    <cfRule type="cellIs" dxfId="6314" priority="841" operator="equal">
      <formula>0</formula>
    </cfRule>
    <cfRule type="expression" dxfId="6313" priority="842">
      <formula>$C68&gt;$E$3</formula>
    </cfRule>
  </conditionalFormatting>
  <conditionalFormatting sqref="K48:K49">
    <cfRule type="expression" dxfId="6312" priority="838">
      <formula>$C68&lt;$E$3</formula>
    </cfRule>
  </conditionalFormatting>
  <conditionalFormatting sqref="K48:K49">
    <cfRule type="expression" dxfId="6311" priority="834">
      <formula>$C68=$E$3</formula>
    </cfRule>
    <cfRule type="expression" dxfId="6310" priority="835">
      <formula>$C68&lt;$E$3</formula>
    </cfRule>
    <cfRule type="cellIs" dxfId="6309" priority="836" operator="equal">
      <formula>0</formula>
    </cfRule>
    <cfRule type="expression" dxfId="6308" priority="837">
      <formula>$C68&gt;$E$3</formula>
    </cfRule>
  </conditionalFormatting>
  <conditionalFormatting sqref="K48:K49">
    <cfRule type="expression" dxfId="6307" priority="833">
      <formula>$C68&lt;$E$3</formula>
    </cfRule>
  </conditionalFormatting>
  <conditionalFormatting sqref="K48:K49">
    <cfRule type="expression" dxfId="6306" priority="829">
      <formula>$C68=$E$3</formula>
    </cfRule>
    <cfRule type="expression" dxfId="6305" priority="830">
      <formula>$C68&lt;$E$3</formula>
    </cfRule>
    <cfRule type="cellIs" dxfId="6304" priority="831" operator="equal">
      <formula>0</formula>
    </cfRule>
    <cfRule type="expression" dxfId="6303" priority="832">
      <formula>$C68&gt;$E$3</formula>
    </cfRule>
  </conditionalFormatting>
  <conditionalFormatting sqref="K48:K49">
    <cfRule type="expression" dxfId="6302" priority="828">
      <formula>$E68=""</formula>
    </cfRule>
  </conditionalFormatting>
  <conditionalFormatting sqref="K48:K49">
    <cfRule type="expression" dxfId="6301" priority="827">
      <formula>$C68&lt;$E$3</formula>
    </cfRule>
  </conditionalFormatting>
  <conditionalFormatting sqref="K48:K49">
    <cfRule type="expression" dxfId="6300" priority="826">
      <formula>$E68=""</formula>
    </cfRule>
  </conditionalFormatting>
  <conditionalFormatting sqref="K48:K49">
    <cfRule type="expression" dxfId="6299" priority="825">
      <formula>$E68=""</formula>
    </cfRule>
  </conditionalFormatting>
  <conditionalFormatting sqref="K48:K49">
    <cfRule type="expression" dxfId="6298" priority="824">
      <formula>$C68&lt;$E$3</formula>
    </cfRule>
  </conditionalFormatting>
  <conditionalFormatting sqref="K48:K49">
    <cfRule type="expression" dxfId="6297" priority="823">
      <formula>$E68=""</formula>
    </cfRule>
  </conditionalFormatting>
  <conditionalFormatting sqref="K48:K49">
    <cfRule type="expression" dxfId="6296" priority="822">
      <formula>$C68&lt;$E$3</formula>
    </cfRule>
  </conditionalFormatting>
  <conditionalFormatting sqref="K48:K49">
    <cfRule type="expression" dxfId="6295" priority="821">
      <formula>$E68=""</formula>
    </cfRule>
  </conditionalFormatting>
  <conditionalFormatting sqref="K48:K49">
    <cfRule type="expression" dxfId="6294" priority="820">
      <formula>$C68&lt;$E$3</formula>
    </cfRule>
  </conditionalFormatting>
  <conditionalFormatting sqref="K48:K49">
    <cfRule type="expression" dxfId="6293" priority="819">
      <formula>$E68=""</formula>
    </cfRule>
  </conditionalFormatting>
  <conditionalFormatting sqref="K50:K51">
    <cfRule type="expression" dxfId="6292" priority="51">
      <formula>$E50=""</formula>
    </cfRule>
  </conditionalFormatting>
  <conditionalFormatting sqref="H33:H37">
    <cfRule type="cellIs" dxfId="6291" priority="794" stopIfTrue="1" operator="lessThan">
      <formula>0</formula>
    </cfRule>
  </conditionalFormatting>
  <conditionalFormatting sqref="H33:H37">
    <cfRule type="expression" dxfId="6290" priority="798">
      <formula>$C33&lt;$E$3</formula>
    </cfRule>
  </conditionalFormatting>
  <conditionalFormatting sqref="H33:H37">
    <cfRule type="expression" dxfId="6289" priority="795">
      <formula>$C33=$E$3</formula>
    </cfRule>
    <cfRule type="expression" dxfId="6288" priority="796">
      <formula>$C33&lt;$E$3</formula>
    </cfRule>
    <cfRule type="cellIs" dxfId="6287" priority="797" operator="equal">
      <formula>0</formula>
    </cfRule>
    <cfRule type="expression" dxfId="6286" priority="799">
      <formula>$C33&gt;$E$3</formula>
    </cfRule>
  </conditionalFormatting>
  <conditionalFormatting sqref="H33:H37">
    <cfRule type="expression" dxfId="6285" priority="793">
      <formula>$C33&lt;$E$3</formula>
    </cfRule>
  </conditionalFormatting>
  <conditionalFormatting sqref="H33:H37">
    <cfRule type="expression" dxfId="6284" priority="789">
      <formula>$C33=$E$3</formula>
    </cfRule>
    <cfRule type="expression" dxfId="6283" priority="790">
      <formula>$C33&lt;$E$3</formula>
    </cfRule>
    <cfRule type="cellIs" dxfId="6282" priority="791" operator="equal">
      <formula>0</formula>
    </cfRule>
    <cfRule type="expression" dxfId="6281" priority="792">
      <formula>$C33&gt;$E$3</formula>
    </cfRule>
  </conditionalFormatting>
  <conditionalFormatting sqref="H33:H37">
    <cfRule type="expression" dxfId="6280" priority="788">
      <formula>$E33=""</formula>
    </cfRule>
  </conditionalFormatting>
  <conditionalFormatting sqref="H36">
    <cfRule type="expression" dxfId="6279" priority="787">
      <formula>$E36=""</formula>
    </cfRule>
  </conditionalFormatting>
  <conditionalFormatting sqref="H33:H37">
    <cfRule type="expression" dxfId="6278" priority="786">
      <formula>$C33&lt;$E$3</formula>
    </cfRule>
  </conditionalFormatting>
  <conditionalFormatting sqref="H33:H37">
    <cfRule type="expression" dxfId="6277" priority="782">
      <formula>$C33=$E$3</formula>
    </cfRule>
    <cfRule type="expression" dxfId="6276" priority="783">
      <formula>$C33&lt;$E$3</formula>
    </cfRule>
    <cfRule type="cellIs" dxfId="6275" priority="784" operator="equal">
      <formula>0</formula>
    </cfRule>
    <cfRule type="expression" dxfId="6274" priority="785">
      <formula>$C33&gt;$E$3</formula>
    </cfRule>
  </conditionalFormatting>
  <conditionalFormatting sqref="H33:H37">
    <cfRule type="expression" dxfId="6273" priority="781">
      <formula>$C33&lt;$E$3</formula>
    </cfRule>
  </conditionalFormatting>
  <conditionalFormatting sqref="H33:H37">
    <cfRule type="expression" dxfId="6272" priority="777">
      <formula>$C33=$E$3</formula>
    </cfRule>
    <cfRule type="expression" dxfId="6271" priority="778">
      <formula>$C33&lt;$E$3</formula>
    </cfRule>
    <cfRule type="cellIs" dxfId="6270" priority="779" operator="equal">
      <formula>0</formula>
    </cfRule>
    <cfRule type="expression" dxfId="6269" priority="780">
      <formula>$C33&gt;$E$3</formula>
    </cfRule>
  </conditionalFormatting>
  <conditionalFormatting sqref="H33:H37">
    <cfRule type="expression" dxfId="6268" priority="776">
      <formula>$E33=""</formula>
    </cfRule>
  </conditionalFormatting>
  <conditionalFormatting sqref="H33:H37">
    <cfRule type="expression" dxfId="6267" priority="775">
      <formula>$C33&lt;$E$3</formula>
    </cfRule>
  </conditionalFormatting>
  <conditionalFormatting sqref="H33:H37">
    <cfRule type="expression" dxfId="6266" priority="774">
      <formula>$E33=""</formula>
    </cfRule>
  </conditionalFormatting>
  <conditionalFormatting sqref="H33:H37">
    <cfRule type="expression" dxfId="6265" priority="773">
      <formula>$E33=""</formula>
    </cfRule>
  </conditionalFormatting>
  <conditionalFormatting sqref="H33:H37">
    <cfRule type="expression" dxfId="6264" priority="772">
      <formula>$C33&lt;$E$3</formula>
    </cfRule>
  </conditionalFormatting>
  <conditionalFormatting sqref="H33:H37">
    <cfRule type="expression" dxfId="6263" priority="771">
      <formula>$E33=""</formula>
    </cfRule>
  </conditionalFormatting>
  <conditionalFormatting sqref="H33:H37">
    <cfRule type="expression" dxfId="6262" priority="770">
      <formula>$C33&lt;$E$3</formula>
    </cfRule>
  </conditionalFormatting>
  <conditionalFormatting sqref="H33:H37">
    <cfRule type="expression" dxfId="6261" priority="769">
      <formula>$E33=""</formula>
    </cfRule>
  </conditionalFormatting>
  <conditionalFormatting sqref="H33:H37">
    <cfRule type="expression" dxfId="6260" priority="768">
      <formula>$C33&lt;$E$3</formula>
    </cfRule>
  </conditionalFormatting>
  <conditionalFormatting sqref="H33:H37">
    <cfRule type="expression" dxfId="6259" priority="767">
      <formula>$E33=""</formula>
    </cfRule>
  </conditionalFormatting>
  <conditionalFormatting sqref="J39:N40">
    <cfRule type="expression" dxfId="6258" priority="766">
      <formula>$L$40=0</formula>
    </cfRule>
  </conditionalFormatting>
  <conditionalFormatting sqref="K5:K11">
    <cfRule type="cellIs" dxfId="6257" priority="765" stopIfTrue="1" operator="lessThan">
      <formula>0</formula>
    </cfRule>
  </conditionalFormatting>
  <conditionalFormatting sqref="K5:K11">
    <cfRule type="expression" dxfId="6256" priority="763">
      <formula>$C5&lt;$E$3</formula>
    </cfRule>
  </conditionalFormatting>
  <conditionalFormatting sqref="K5:K11">
    <cfRule type="expression" dxfId="6255" priority="760">
      <formula>$C5=$E$3</formula>
    </cfRule>
    <cfRule type="expression" dxfId="6254" priority="761">
      <formula>$C5&lt;$E$3</formula>
    </cfRule>
    <cfRule type="cellIs" dxfId="6253" priority="762" operator="equal">
      <formula>0</formula>
    </cfRule>
    <cfRule type="expression" dxfId="6252" priority="764">
      <formula>$C5&gt;$E$3</formula>
    </cfRule>
  </conditionalFormatting>
  <conditionalFormatting sqref="K5:K11">
    <cfRule type="expression" dxfId="6251" priority="759">
      <formula>$E5=""</formula>
    </cfRule>
  </conditionalFormatting>
  <conditionalFormatting sqref="K5:K11">
    <cfRule type="expression" dxfId="6250" priority="758">
      <formula>$E5=""</formula>
    </cfRule>
  </conditionalFormatting>
  <conditionalFormatting sqref="K5:K11">
    <cfRule type="expression" dxfId="6249" priority="757">
      <formula>$E5=""</formula>
    </cfRule>
  </conditionalFormatting>
  <conditionalFormatting sqref="K10">
    <cfRule type="expression" dxfId="6248" priority="756">
      <formula>$C10&lt;$E$3</formula>
    </cfRule>
  </conditionalFormatting>
  <conditionalFormatting sqref="K10">
    <cfRule type="expression" dxfId="6247" priority="752">
      <formula>$C10=$E$3</formula>
    </cfRule>
    <cfRule type="expression" dxfId="6246" priority="753">
      <formula>$C10&lt;$E$3</formula>
    </cfRule>
    <cfRule type="cellIs" dxfId="6245" priority="754" operator="equal">
      <formula>0</formula>
    </cfRule>
    <cfRule type="expression" dxfId="6244" priority="755">
      <formula>$C10&gt;$E$3</formula>
    </cfRule>
  </conditionalFormatting>
  <conditionalFormatting sqref="K10">
    <cfRule type="expression" dxfId="6243" priority="751">
      <formula>$C10&lt;$E$3</formula>
    </cfRule>
  </conditionalFormatting>
  <conditionalFormatting sqref="K10">
    <cfRule type="expression" dxfId="6242" priority="747">
      <formula>$C10=$E$3</formula>
    </cfRule>
    <cfRule type="expression" dxfId="6241" priority="748">
      <formula>$C10&lt;$E$3</formula>
    </cfRule>
    <cfRule type="cellIs" dxfId="6240" priority="749" operator="equal">
      <formula>0</formula>
    </cfRule>
    <cfRule type="expression" dxfId="6239" priority="750">
      <formula>$C10&gt;$E$3</formula>
    </cfRule>
  </conditionalFormatting>
  <conditionalFormatting sqref="K10">
    <cfRule type="expression" dxfId="6238" priority="746">
      <formula>$C10&lt;$E$3</formula>
    </cfRule>
  </conditionalFormatting>
  <conditionalFormatting sqref="K10">
    <cfRule type="expression" dxfId="6237" priority="742">
      <formula>$C10=$E$3</formula>
    </cfRule>
    <cfRule type="expression" dxfId="6236" priority="743">
      <formula>$C10&lt;$E$3</formula>
    </cfRule>
    <cfRule type="cellIs" dxfId="6235" priority="744" operator="equal">
      <formula>0</formula>
    </cfRule>
    <cfRule type="expression" dxfId="6234" priority="745">
      <formula>$C10&gt;$E$3</formula>
    </cfRule>
  </conditionalFormatting>
  <conditionalFormatting sqref="K10">
    <cfRule type="expression" dxfId="6233" priority="741">
      <formula>$C10&lt;$E$3</formula>
    </cfRule>
  </conditionalFormatting>
  <conditionalFormatting sqref="K10">
    <cfRule type="expression" dxfId="6232" priority="737">
      <formula>$C10=$E$3</formula>
    </cfRule>
    <cfRule type="expression" dxfId="6231" priority="738">
      <formula>$C10&lt;$E$3</formula>
    </cfRule>
    <cfRule type="cellIs" dxfId="6230" priority="739" operator="equal">
      <formula>0</formula>
    </cfRule>
    <cfRule type="expression" dxfId="6229" priority="740">
      <formula>$C10&gt;$E$3</formula>
    </cfRule>
  </conditionalFormatting>
  <conditionalFormatting sqref="K10">
    <cfRule type="expression" dxfId="6228" priority="736">
      <formula>$E10=""</formula>
    </cfRule>
  </conditionalFormatting>
  <conditionalFormatting sqref="K10">
    <cfRule type="expression" dxfId="6227" priority="735">
      <formula>$C10&lt;$E$3</formula>
    </cfRule>
  </conditionalFormatting>
  <conditionalFormatting sqref="K10">
    <cfRule type="expression" dxfId="6226" priority="734">
      <formula>$E10=""</formula>
    </cfRule>
  </conditionalFormatting>
  <conditionalFormatting sqref="K10">
    <cfRule type="expression" dxfId="6225" priority="733">
      <formula>$E10=""</formula>
    </cfRule>
  </conditionalFormatting>
  <conditionalFormatting sqref="K10">
    <cfRule type="expression" dxfId="6224" priority="732">
      <formula>$C10&lt;$E$3</formula>
    </cfRule>
  </conditionalFormatting>
  <conditionalFormatting sqref="K10">
    <cfRule type="expression" dxfId="6223" priority="731">
      <formula>$E10=""</formula>
    </cfRule>
  </conditionalFormatting>
  <conditionalFormatting sqref="K10">
    <cfRule type="expression" dxfId="6222" priority="730">
      <formula>$C10&lt;$E$3</formula>
    </cfRule>
  </conditionalFormatting>
  <conditionalFormatting sqref="K10">
    <cfRule type="expression" dxfId="6221" priority="729">
      <formula>$E10=""</formula>
    </cfRule>
  </conditionalFormatting>
  <conditionalFormatting sqref="K10">
    <cfRule type="expression" dxfId="6220" priority="728">
      <formula>$C10&lt;$E$3</formula>
    </cfRule>
  </conditionalFormatting>
  <conditionalFormatting sqref="K10">
    <cfRule type="expression" dxfId="6219" priority="727">
      <formula>$E10=""</formula>
    </cfRule>
  </conditionalFormatting>
  <conditionalFormatting sqref="K10">
    <cfRule type="expression" dxfId="6218" priority="726">
      <formula>$C10&lt;$E$3</formula>
    </cfRule>
  </conditionalFormatting>
  <conditionalFormatting sqref="K10">
    <cfRule type="expression" dxfId="6217" priority="722">
      <formula>$C10=$E$3</formula>
    </cfRule>
    <cfRule type="expression" dxfId="6216" priority="723">
      <formula>$C10&lt;$E$3</formula>
    </cfRule>
    <cfRule type="cellIs" dxfId="6215" priority="724" operator="equal">
      <formula>0</formula>
    </cfRule>
    <cfRule type="expression" dxfId="6214" priority="725">
      <formula>$C10&gt;$E$3</formula>
    </cfRule>
  </conditionalFormatting>
  <conditionalFormatting sqref="K10">
    <cfRule type="expression" dxfId="6213" priority="721">
      <formula>$C10&lt;$E$3</formula>
    </cfRule>
  </conditionalFormatting>
  <conditionalFormatting sqref="K10">
    <cfRule type="expression" dxfId="6212" priority="717">
      <formula>$C10=$E$3</formula>
    </cfRule>
    <cfRule type="expression" dxfId="6211" priority="718">
      <formula>$C10&lt;$E$3</formula>
    </cfRule>
    <cfRule type="cellIs" dxfId="6210" priority="719" operator="equal">
      <formula>0</formula>
    </cfRule>
    <cfRule type="expression" dxfId="6209" priority="720">
      <formula>$C10&gt;$E$3</formula>
    </cfRule>
  </conditionalFormatting>
  <conditionalFormatting sqref="K10">
    <cfRule type="expression" dxfId="6208" priority="716">
      <formula>$C10&lt;$E$3</formula>
    </cfRule>
  </conditionalFormatting>
  <conditionalFormatting sqref="K10">
    <cfRule type="expression" dxfId="6207" priority="712">
      <formula>$C10=$E$3</formula>
    </cfRule>
    <cfRule type="expression" dxfId="6206" priority="713">
      <formula>$C10&lt;$E$3</formula>
    </cfRule>
    <cfRule type="cellIs" dxfId="6205" priority="714" operator="equal">
      <formula>0</formula>
    </cfRule>
    <cfRule type="expression" dxfId="6204" priority="715">
      <formula>$C10&gt;$E$3</formula>
    </cfRule>
  </conditionalFormatting>
  <conditionalFormatting sqref="K10">
    <cfRule type="expression" dxfId="6203" priority="711">
      <formula>$C10&lt;$E$3</formula>
    </cfRule>
  </conditionalFormatting>
  <conditionalFormatting sqref="K10">
    <cfRule type="expression" dxfId="6202" priority="707">
      <formula>$C10=$E$3</formula>
    </cfRule>
    <cfRule type="expression" dxfId="6201" priority="708">
      <formula>$C10&lt;$E$3</formula>
    </cfRule>
    <cfRule type="cellIs" dxfId="6200" priority="709" operator="equal">
      <formula>0</formula>
    </cfRule>
    <cfRule type="expression" dxfId="6199" priority="710">
      <formula>$C10&gt;$E$3</formula>
    </cfRule>
  </conditionalFormatting>
  <conditionalFormatting sqref="K10">
    <cfRule type="expression" dxfId="6198" priority="706">
      <formula>$E10=""</formula>
    </cfRule>
  </conditionalFormatting>
  <conditionalFormatting sqref="K10">
    <cfRule type="expression" dxfId="6197" priority="705">
      <formula>$C10&lt;$E$3</formula>
    </cfRule>
  </conditionalFormatting>
  <conditionalFormatting sqref="K10">
    <cfRule type="expression" dxfId="6196" priority="704">
      <formula>$E10=""</formula>
    </cfRule>
  </conditionalFormatting>
  <conditionalFormatting sqref="K10">
    <cfRule type="expression" dxfId="6195" priority="703">
      <formula>$E10=""</formula>
    </cfRule>
  </conditionalFormatting>
  <conditionalFormatting sqref="K10">
    <cfRule type="expression" dxfId="6194" priority="702">
      <formula>$C10&lt;$E$3</formula>
    </cfRule>
  </conditionalFormatting>
  <conditionalFormatting sqref="K10">
    <cfRule type="expression" dxfId="6193" priority="701">
      <formula>$E10=""</formula>
    </cfRule>
  </conditionalFormatting>
  <conditionalFormatting sqref="K10">
    <cfRule type="expression" dxfId="6192" priority="700">
      <formula>$C10&lt;$E$3</formula>
    </cfRule>
  </conditionalFormatting>
  <conditionalFormatting sqref="K10">
    <cfRule type="expression" dxfId="6191" priority="699">
      <formula>$E10=""</formula>
    </cfRule>
  </conditionalFormatting>
  <conditionalFormatting sqref="K10">
    <cfRule type="expression" dxfId="6190" priority="698">
      <formula>$C10&lt;$E$3</formula>
    </cfRule>
  </conditionalFormatting>
  <conditionalFormatting sqref="K10">
    <cfRule type="expression" dxfId="6189" priority="697">
      <formula>$E10=""</formula>
    </cfRule>
  </conditionalFormatting>
  <conditionalFormatting sqref="K5:K9">
    <cfRule type="expression" dxfId="6188" priority="696">
      <formula>$C5&lt;$E$3</formula>
    </cfRule>
  </conditionalFormatting>
  <conditionalFormatting sqref="K5:K9">
    <cfRule type="expression" dxfId="6187" priority="692">
      <formula>$C5=$E$3</formula>
    </cfRule>
    <cfRule type="expression" dxfId="6186" priority="693">
      <formula>$C5&lt;$E$3</formula>
    </cfRule>
    <cfRule type="cellIs" dxfId="6185" priority="694" operator="equal">
      <formula>0</formula>
    </cfRule>
    <cfRule type="expression" dxfId="6184" priority="695">
      <formula>$C5&gt;$E$3</formula>
    </cfRule>
  </conditionalFormatting>
  <conditionalFormatting sqref="K5:K9">
    <cfRule type="expression" dxfId="6183" priority="691">
      <formula>$C5&lt;$E$3</formula>
    </cfRule>
  </conditionalFormatting>
  <conditionalFormatting sqref="K5:K9">
    <cfRule type="expression" dxfId="6182" priority="687">
      <formula>$C5=$E$3</formula>
    </cfRule>
    <cfRule type="expression" dxfId="6181" priority="688">
      <formula>$C5&lt;$E$3</formula>
    </cfRule>
    <cfRule type="cellIs" dxfId="6180" priority="689" operator="equal">
      <formula>0</formula>
    </cfRule>
    <cfRule type="expression" dxfId="6179" priority="690">
      <formula>$C5&gt;$E$3</formula>
    </cfRule>
  </conditionalFormatting>
  <conditionalFormatting sqref="K5:K9">
    <cfRule type="expression" dxfId="6178" priority="686">
      <formula>$C5&lt;$E$3</formula>
    </cfRule>
  </conditionalFormatting>
  <conditionalFormatting sqref="K5:K9">
    <cfRule type="expression" dxfId="6177" priority="682">
      <formula>$C5=$E$3</formula>
    </cfRule>
    <cfRule type="expression" dxfId="6176" priority="683">
      <formula>$C5&lt;$E$3</formula>
    </cfRule>
    <cfRule type="cellIs" dxfId="6175" priority="684" operator="equal">
      <formula>0</formula>
    </cfRule>
    <cfRule type="expression" dxfId="6174" priority="685">
      <formula>$C5&gt;$E$3</formula>
    </cfRule>
  </conditionalFormatting>
  <conditionalFormatting sqref="K5:K9">
    <cfRule type="expression" dxfId="6173" priority="681">
      <formula>$C5&lt;$E$3</formula>
    </cfRule>
  </conditionalFormatting>
  <conditionalFormatting sqref="K5:K9">
    <cfRule type="expression" dxfId="6172" priority="677">
      <formula>$C5=$E$3</formula>
    </cfRule>
    <cfRule type="expression" dxfId="6171" priority="678">
      <formula>$C5&lt;$E$3</formula>
    </cfRule>
    <cfRule type="cellIs" dxfId="6170" priority="679" operator="equal">
      <formula>0</formula>
    </cfRule>
    <cfRule type="expression" dxfId="6169" priority="680">
      <formula>$C5&gt;$E$3</formula>
    </cfRule>
  </conditionalFormatting>
  <conditionalFormatting sqref="K5:K9">
    <cfRule type="expression" dxfId="6168" priority="676">
      <formula>$E5=""</formula>
    </cfRule>
  </conditionalFormatting>
  <conditionalFormatting sqref="K5:K9">
    <cfRule type="expression" dxfId="6167" priority="675">
      <formula>$C5&lt;$E$3</formula>
    </cfRule>
  </conditionalFormatting>
  <conditionalFormatting sqref="K5:K9">
    <cfRule type="expression" dxfId="6166" priority="674">
      <formula>$E5=""</formula>
    </cfRule>
  </conditionalFormatting>
  <conditionalFormatting sqref="K5:K9">
    <cfRule type="expression" dxfId="6165" priority="673">
      <formula>$E5=""</formula>
    </cfRule>
  </conditionalFormatting>
  <conditionalFormatting sqref="K5:K9">
    <cfRule type="expression" dxfId="6164" priority="672">
      <formula>$C5&lt;$E$3</formula>
    </cfRule>
  </conditionalFormatting>
  <conditionalFormatting sqref="K5:K9">
    <cfRule type="expression" dxfId="6163" priority="671">
      <formula>$E5=""</formula>
    </cfRule>
  </conditionalFormatting>
  <conditionalFormatting sqref="K5:K9">
    <cfRule type="expression" dxfId="6162" priority="670">
      <formula>$C5&lt;$E$3</formula>
    </cfRule>
  </conditionalFormatting>
  <conditionalFormatting sqref="K5:K9">
    <cfRule type="expression" dxfId="6161" priority="669">
      <formula>$E5=""</formula>
    </cfRule>
  </conditionalFormatting>
  <conditionalFormatting sqref="K5:K9">
    <cfRule type="expression" dxfId="6160" priority="668">
      <formula>$C5&lt;$E$3</formula>
    </cfRule>
  </conditionalFormatting>
  <conditionalFormatting sqref="K5:K9">
    <cfRule type="expression" dxfId="6159" priority="667">
      <formula>$E5=""</formula>
    </cfRule>
  </conditionalFormatting>
  <conditionalFormatting sqref="K5:K9">
    <cfRule type="expression" dxfId="6158" priority="666">
      <formula>$C5&lt;$E$3</formula>
    </cfRule>
  </conditionalFormatting>
  <conditionalFormatting sqref="K5:K9">
    <cfRule type="expression" dxfId="6157" priority="662">
      <formula>$C5=$E$3</formula>
    </cfRule>
    <cfRule type="expression" dxfId="6156" priority="663">
      <formula>$C5&lt;$E$3</formula>
    </cfRule>
    <cfRule type="cellIs" dxfId="6155" priority="664" operator="equal">
      <formula>0</formula>
    </cfRule>
    <cfRule type="expression" dxfId="6154" priority="665">
      <formula>$C5&gt;$E$3</formula>
    </cfRule>
  </conditionalFormatting>
  <conditionalFormatting sqref="K5:K9">
    <cfRule type="expression" dxfId="6153" priority="661">
      <formula>$C5&lt;$E$3</formula>
    </cfRule>
  </conditionalFormatting>
  <conditionalFormatting sqref="K5:K9">
    <cfRule type="expression" dxfId="6152" priority="657">
      <formula>$C5=$E$3</formula>
    </cfRule>
    <cfRule type="expression" dxfId="6151" priority="658">
      <formula>$C5&lt;$E$3</formula>
    </cfRule>
    <cfRule type="cellIs" dxfId="6150" priority="659" operator="equal">
      <formula>0</formula>
    </cfRule>
    <cfRule type="expression" dxfId="6149" priority="660">
      <formula>$C5&gt;$E$3</formula>
    </cfRule>
  </conditionalFormatting>
  <conditionalFormatting sqref="K5:K9">
    <cfRule type="expression" dxfId="6148" priority="656">
      <formula>$C5&lt;$E$3</formula>
    </cfRule>
  </conditionalFormatting>
  <conditionalFormatting sqref="K5:K9">
    <cfRule type="expression" dxfId="6147" priority="652">
      <formula>$C5=$E$3</formula>
    </cfRule>
    <cfRule type="expression" dxfId="6146" priority="653">
      <formula>$C5&lt;$E$3</formula>
    </cfRule>
    <cfRule type="cellIs" dxfId="6145" priority="654" operator="equal">
      <formula>0</formula>
    </cfRule>
    <cfRule type="expression" dxfId="6144" priority="655">
      <formula>$C5&gt;$E$3</formula>
    </cfRule>
  </conditionalFormatting>
  <conditionalFormatting sqref="K5:K9">
    <cfRule type="expression" dxfId="6143" priority="651">
      <formula>$C5&lt;$E$3</formula>
    </cfRule>
  </conditionalFormatting>
  <conditionalFormatting sqref="K5:K9">
    <cfRule type="expression" dxfId="6142" priority="647">
      <formula>$C5=$E$3</formula>
    </cfRule>
    <cfRule type="expression" dxfId="6141" priority="648">
      <formula>$C5&lt;$E$3</formula>
    </cfRule>
    <cfRule type="cellIs" dxfId="6140" priority="649" operator="equal">
      <formula>0</formula>
    </cfRule>
    <cfRule type="expression" dxfId="6139" priority="650">
      <formula>$C5&gt;$E$3</formula>
    </cfRule>
  </conditionalFormatting>
  <conditionalFormatting sqref="K5:K9">
    <cfRule type="expression" dxfId="6138" priority="646">
      <formula>$E5=""</formula>
    </cfRule>
  </conditionalFormatting>
  <conditionalFormatting sqref="K5:K9">
    <cfRule type="expression" dxfId="6137" priority="645">
      <formula>$C5&lt;$E$3</formula>
    </cfRule>
  </conditionalFormatting>
  <conditionalFormatting sqref="K5:K9">
    <cfRule type="expression" dxfId="6136" priority="644">
      <formula>$E5=""</formula>
    </cfRule>
  </conditionalFormatting>
  <conditionalFormatting sqref="K5:K9">
    <cfRule type="expression" dxfId="6135" priority="643">
      <formula>$E5=""</formula>
    </cfRule>
  </conditionalFormatting>
  <conditionalFormatting sqref="K5:K9">
    <cfRule type="expression" dxfId="6134" priority="642">
      <formula>$C5&lt;$E$3</formula>
    </cfRule>
  </conditionalFormatting>
  <conditionalFormatting sqref="K5:K9">
    <cfRule type="expression" dxfId="6133" priority="641">
      <formula>$E5=""</formula>
    </cfRule>
  </conditionalFormatting>
  <conditionalFormatting sqref="K5:K9">
    <cfRule type="expression" dxfId="6132" priority="640">
      <formula>$C5&lt;$E$3</formula>
    </cfRule>
  </conditionalFormatting>
  <conditionalFormatting sqref="K5:K9">
    <cfRule type="expression" dxfId="6131" priority="639">
      <formula>$E5=""</formula>
    </cfRule>
  </conditionalFormatting>
  <conditionalFormatting sqref="K5:K9">
    <cfRule type="expression" dxfId="6130" priority="638">
      <formula>$C5&lt;$E$3</formula>
    </cfRule>
  </conditionalFormatting>
  <conditionalFormatting sqref="K5:K9">
    <cfRule type="expression" dxfId="6129" priority="637">
      <formula>$E5=""</formula>
    </cfRule>
  </conditionalFormatting>
  <conditionalFormatting sqref="K5:K11">
    <cfRule type="expression" dxfId="6128" priority="635">
      <formula>$C5&lt;$E$3</formula>
    </cfRule>
  </conditionalFormatting>
  <conditionalFormatting sqref="K5:K11">
    <cfRule type="expression" dxfId="6127" priority="632">
      <formula>$C5=$E$3</formula>
    </cfRule>
    <cfRule type="expression" dxfId="6126" priority="633">
      <formula>$C5&lt;$E$3</formula>
    </cfRule>
    <cfRule type="cellIs" dxfId="6125" priority="634" operator="equal">
      <formula>0</formula>
    </cfRule>
    <cfRule type="expression" dxfId="6124" priority="636">
      <formula>$C5&gt;$E$3</formula>
    </cfRule>
  </conditionalFormatting>
  <conditionalFormatting sqref="K5:K11">
    <cfRule type="expression" dxfId="6123" priority="631">
      <formula>$E5=""</formula>
    </cfRule>
  </conditionalFormatting>
  <conditionalFormatting sqref="K5:K11">
    <cfRule type="expression" dxfId="6122" priority="630">
      <formula>$E5=""</formula>
    </cfRule>
  </conditionalFormatting>
  <conditionalFormatting sqref="K5:K11">
    <cfRule type="expression" dxfId="6121" priority="629">
      <formula>$E5=""</formula>
    </cfRule>
  </conditionalFormatting>
  <conditionalFormatting sqref="K14:K20">
    <cfRule type="cellIs" dxfId="6120" priority="628" stopIfTrue="1" operator="lessThan">
      <formula>0</formula>
    </cfRule>
  </conditionalFormatting>
  <conditionalFormatting sqref="K14:K20">
    <cfRule type="expression" dxfId="6119" priority="626">
      <formula>$C14&lt;$E$3</formula>
    </cfRule>
  </conditionalFormatting>
  <conditionalFormatting sqref="K14:K20">
    <cfRule type="expression" dxfId="6118" priority="623">
      <formula>$C14=$E$3</formula>
    </cfRule>
    <cfRule type="expression" dxfId="6117" priority="624">
      <formula>$C14&lt;$E$3</formula>
    </cfRule>
    <cfRule type="cellIs" dxfId="6116" priority="625" operator="equal">
      <formula>0</formula>
    </cfRule>
    <cfRule type="expression" dxfId="6115" priority="627">
      <formula>$C14&gt;$E$3</formula>
    </cfRule>
  </conditionalFormatting>
  <conditionalFormatting sqref="K14:K20">
    <cfRule type="expression" dxfId="6114" priority="622">
      <formula>$E14=""</formula>
    </cfRule>
  </conditionalFormatting>
  <conditionalFormatting sqref="K14:K20">
    <cfRule type="expression" dxfId="6113" priority="621">
      <formula>$E14=""</formula>
    </cfRule>
  </conditionalFormatting>
  <conditionalFormatting sqref="K14:K20">
    <cfRule type="expression" dxfId="6112" priority="620">
      <formula>$E14=""</formula>
    </cfRule>
  </conditionalFormatting>
  <conditionalFormatting sqref="K19">
    <cfRule type="expression" dxfId="6111" priority="619">
      <formula>$C19&lt;$E$3</formula>
    </cfRule>
  </conditionalFormatting>
  <conditionalFormatting sqref="K19">
    <cfRule type="expression" dxfId="6110" priority="615">
      <formula>$C19=$E$3</formula>
    </cfRule>
    <cfRule type="expression" dxfId="6109" priority="616">
      <formula>$C19&lt;$E$3</formula>
    </cfRule>
    <cfRule type="cellIs" dxfId="6108" priority="617" operator="equal">
      <formula>0</formula>
    </cfRule>
    <cfRule type="expression" dxfId="6107" priority="618">
      <formula>$C19&gt;$E$3</formula>
    </cfRule>
  </conditionalFormatting>
  <conditionalFormatting sqref="K19">
    <cfRule type="expression" dxfId="6106" priority="614">
      <formula>$C19&lt;$E$3</formula>
    </cfRule>
  </conditionalFormatting>
  <conditionalFormatting sqref="K19">
    <cfRule type="expression" dxfId="6105" priority="610">
      <formula>$C19=$E$3</formula>
    </cfRule>
    <cfRule type="expression" dxfId="6104" priority="611">
      <formula>$C19&lt;$E$3</formula>
    </cfRule>
    <cfRule type="cellIs" dxfId="6103" priority="612" operator="equal">
      <formula>0</formula>
    </cfRule>
    <cfRule type="expression" dxfId="6102" priority="613">
      <formula>$C19&gt;$E$3</formula>
    </cfRule>
  </conditionalFormatting>
  <conditionalFormatting sqref="K19">
    <cfRule type="expression" dxfId="6101" priority="609">
      <formula>$C19&lt;$E$3</formula>
    </cfRule>
  </conditionalFormatting>
  <conditionalFormatting sqref="K19">
    <cfRule type="expression" dxfId="6100" priority="605">
      <formula>$C19=$E$3</formula>
    </cfRule>
    <cfRule type="expression" dxfId="6099" priority="606">
      <formula>$C19&lt;$E$3</formula>
    </cfRule>
    <cfRule type="cellIs" dxfId="6098" priority="607" operator="equal">
      <formula>0</formula>
    </cfRule>
    <cfRule type="expression" dxfId="6097" priority="608">
      <formula>$C19&gt;$E$3</formula>
    </cfRule>
  </conditionalFormatting>
  <conditionalFormatting sqref="K19">
    <cfRule type="expression" dxfId="6096" priority="604">
      <formula>$C19&lt;$E$3</formula>
    </cfRule>
  </conditionalFormatting>
  <conditionalFormatting sqref="K19">
    <cfRule type="expression" dxfId="6095" priority="600">
      <formula>$C19=$E$3</formula>
    </cfRule>
    <cfRule type="expression" dxfId="6094" priority="601">
      <formula>$C19&lt;$E$3</formula>
    </cfRule>
    <cfRule type="cellIs" dxfId="6093" priority="602" operator="equal">
      <formula>0</formula>
    </cfRule>
    <cfRule type="expression" dxfId="6092" priority="603">
      <formula>$C19&gt;$E$3</formula>
    </cfRule>
  </conditionalFormatting>
  <conditionalFormatting sqref="K19">
    <cfRule type="expression" dxfId="6091" priority="599">
      <formula>$E19=""</formula>
    </cfRule>
  </conditionalFormatting>
  <conditionalFormatting sqref="K19">
    <cfRule type="expression" dxfId="6090" priority="598">
      <formula>$C19&lt;$E$3</formula>
    </cfRule>
  </conditionalFormatting>
  <conditionalFormatting sqref="K19">
    <cfRule type="expression" dxfId="6089" priority="597">
      <formula>$E19=""</formula>
    </cfRule>
  </conditionalFormatting>
  <conditionalFormatting sqref="K19">
    <cfRule type="expression" dxfId="6088" priority="596">
      <formula>$E19=""</formula>
    </cfRule>
  </conditionalFormatting>
  <conditionalFormatting sqref="K19">
    <cfRule type="expression" dxfId="6087" priority="595">
      <formula>$C19&lt;$E$3</formula>
    </cfRule>
  </conditionalFormatting>
  <conditionalFormatting sqref="K19">
    <cfRule type="expression" dxfId="6086" priority="594">
      <formula>$E19=""</formula>
    </cfRule>
  </conditionalFormatting>
  <conditionalFormatting sqref="K19">
    <cfRule type="expression" dxfId="6085" priority="593">
      <formula>$C19&lt;$E$3</formula>
    </cfRule>
  </conditionalFormatting>
  <conditionalFormatting sqref="K19">
    <cfRule type="expression" dxfId="6084" priority="592">
      <formula>$E19=""</formula>
    </cfRule>
  </conditionalFormatting>
  <conditionalFormatting sqref="K19">
    <cfRule type="expression" dxfId="6083" priority="591">
      <formula>$C19&lt;$E$3</formula>
    </cfRule>
  </conditionalFormatting>
  <conditionalFormatting sqref="K19">
    <cfRule type="expression" dxfId="6082" priority="590">
      <formula>$E19=""</formula>
    </cfRule>
  </conditionalFormatting>
  <conditionalFormatting sqref="K19">
    <cfRule type="expression" dxfId="6081" priority="589">
      <formula>$C19&lt;$E$3</formula>
    </cfRule>
  </conditionalFormatting>
  <conditionalFormatting sqref="K19">
    <cfRule type="expression" dxfId="6080" priority="585">
      <formula>$C19=$E$3</formula>
    </cfRule>
    <cfRule type="expression" dxfId="6079" priority="586">
      <formula>$C19&lt;$E$3</formula>
    </cfRule>
    <cfRule type="cellIs" dxfId="6078" priority="587" operator="equal">
      <formula>0</formula>
    </cfRule>
    <cfRule type="expression" dxfId="6077" priority="588">
      <formula>$C19&gt;$E$3</formula>
    </cfRule>
  </conditionalFormatting>
  <conditionalFormatting sqref="K19">
    <cfRule type="expression" dxfId="6076" priority="584">
      <formula>$C19&lt;$E$3</formula>
    </cfRule>
  </conditionalFormatting>
  <conditionalFormatting sqref="K19">
    <cfRule type="expression" dxfId="6075" priority="580">
      <formula>$C19=$E$3</formula>
    </cfRule>
    <cfRule type="expression" dxfId="6074" priority="581">
      <formula>$C19&lt;$E$3</formula>
    </cfRule>
    <cfRule type="cellIs" dxfId="6073" priority="582" operator="equal">
      <formula>0</formula>
    </cfRule>
    <cfRule type="expression" dxfId="6072" priority="583">
      <formula>$C19&gt;$E$3</formula>
    </cfRule>
  </conditionalFormatting>
  <conditionalFormatting sqref="K19">
    <cfRule type="expression" dxfId="6071" priority="579">
      <formula>$C19&lt;$E$3</formula>
    </cfRule>
  </conditionalFormatting>
  <conditionalFormatting sqref="K19">
    <cfRule type="expression" dxfId="6070" priority="575">
      <formula>$C19=$E$3</formula>
    </cfRule>
    <cfRule type="expression" dxfId="6069" priority="576">
      <formula>$C19&lt;$E$3</formula>
    </cfRule>
    <cfRule type="cellIs" dxfId="6068" priority="577" operator="equal">
      <formula>0</formula>
    </cfRule>
    <cfRule type="expression" dxfId="6067" priority="578">
      <formula>$C19&gt;$E$3</formula>
    </cfRule>
  </conditionalFormatting>
  <conditionalFormatting sqref="K19">
    <cfRule type="expression" dxfId="6066" priority="574">
      <formula>$C19&lt;$E$3</formula>
    </cfRule>
  </conditionalFormatting>
  <conditionalFormatting sqref="K19">
    <cfRule type="expression" dxfId="6065" priority="570">
      <formula>$C19=$E$3</formula>
    </cfRule>
    <cfRule type="expression" dxfId="6064" priority="571">
      <formula>$C19&lt;$E$3</formula>
    </cfRule>
    <cfRule type="cellIs" dxfId="6063" priority="572" operator="equal">
      <formula>0</formula>
    </cfRule>
    <cfRule type="expression" dxfId="6062" priority="573">
      <formula>$C19&gt;$E$3</formula>
    </cfRule>
  </conditionalFormatting>
  <conditionalFormatting sqref="K19">
    <cfRule type="expression" dxfId="6061" priority="569">
      <formula>$E19=""</formula>
    </cfRule>
  </conditionalFormatting>
  <conditionalFormatting sqref="K19">
    <cfRule type="expression" dxfId="6060" priority="568">
      <formula>$C19&lt;$E$3</formula>
    </cfRule>
  </conditionalFormatting>
  <conditionalFormatting sqref="K19">
    <cfRule type="expression" dxfId="6059" priority="567">
      <formula>$E19=""</formula>
    </cfRule>
  </conditionalFormatting>
  <conditionalFormatting sqref="K19">
    <cfRule type="expression" dxfId="6058" priority="566">
      <formula>$E19=""</formula>
    </cfRule>
  </conditionalFormatting>
  <conditionalFormatting sqref="K19">
    <cfRule type="expression" dxfId="6057" priority="565">
      <formula>$C19&lt;$E$3</formula>
    </cfRule>
  </conditionalFormatting>
  <conditionalFormatting sqref="K19">
    <cfRule type="expression" dxfId="6056" priority="564">
      <formula>$E19=""</formula>
    </cfRule>
  </conditionalFormatting>
  <conditionalFormatting sqref="K19">
    <cfRule type="expression" dxfId="6055" priority="563">
      <formula>$C19&lt;$E$3</formula>
    </cfRule>
  </conditionalFormatting>
  <conditionalFormatting sqref="K19">
    <cfRule type="expression" dxfId="6054" priority="562">
      <formula>$E19=""</formula>
    </cfRule>
  </conditionalFormatting>
  <conditionalFormatting sqref="K19">
    <cfRule type="expression" dxfId="6053" priority="561">
      <formula>$C19&lt;$E$3</formula>
    </cfRule>
  </conditionalFormatting>
  <conditionalFormatting sqref="K19">
    <cfRule type="expression" dxfId="6052" priority="560">
      <formula>$E19=""</formula>
    </cfRule>
  </conditionalFormatting>
  <conditionalFormatting sqref="K14:K18">
    <cfRule type="expression" dxfId="6051" priority="559">
      <formula>$C14&lt;$E$3</formula>
    </cfRule>
  </conditionalFormatting>
  <conditionalFormatting sqref="K14:K18">
    <cfRule type="expression" dxfId="6050" priority="555">
      <formula>$C14=$E$3</formula>
    </cfRule>
    <cfRule type="expression" dxfId="6049" priority="556">
      <formula>$C14&lt;$E$3</formula>
    </cfRule>
    <cfRule type="cellIs" dxfId="6048" priority="557" operator="equal">
      <formula>0</formula>
    </cfRule>
    <cfRule type="expression" dxfId="6047" priority="558">
      <formula>$C14&gt;$E$3</formula>
    </cfRule>
  </conditionalFormatting>
  <conditionalFormatting sqref="K14:K18">
    <cfRule type="expression" dxfId="6046" priority="554">
      <formula>$C14&lt;$E$3</formula>
    </cfRule>
  </conditionalFormatting>
  <conditionalFormatting sqref="K14:K18">
    <cfRule type="expression" dxfId="6045" priority="550">
      <formula>$C14=$E$3</formula>
    </cfRule>
    <cfRule type="expression" dxfId="6044" priority="551">
      <formula>$C14&lt;$E$3</formula>
    </cfRule>
    <cfRule type="cellIs" dxfId="6043" priority="552" operator="equal">
      <formula>0</formula>
    </cfRule>
    <cfRule type="expression" dxfId="6042" priority="553">
      <formula>$C14&gt;$E$3</formula>
    </cfRule>
  </conditionalFormatting>
  <conditionalFormatting sqref="K14:K18">
    <cfRule type="expression" dxfId="6041" priority="549">
      <formula>$C14&lt;$E$3</formula>
    </cfRule>
  </conditionalFormatting>
  <conditionalFormatting sqref="K14:K18">
    <cfRule type="expression" dxfId="6040" priority="545">
      <formula>$C14=$E$3</formula>
    </cfRule>
    <cfRule type="expression" dxfId="6039" priority="546">
      <formula>$C14&lt;$E$3</formula>
    </cfRule>
    <cfRule type="cellIs" dxfId="6038" priority="547" operator="equal">
      <formula>0</formula>
    </cfRule>
    <cfRule type="expression" dxfId="6037" priority="548">
      <formula>$C14&gt;$E$3</formula>
    </cfRule>
  </conditionalFormatting>
  <conditionalFormatting sqref="K14:K18">
    <cfRule type="expression" dxfId="6036" priority="544">
      <formula>$C14&lt;$E$3</formula>
    </cfRule>
  </conditionalFormatting>
  <conditionalFormatting sqref="K14:K18">
    <cfRule type="expression" dxfId="6035" priority="540">
      <formula>$C14=$E$3</formula>
    </cfRule>
    <cfRule type="expression" dxfId="6034" priority="541">
      <formula>$C14&lt;$E$3</formula>
    </cfRule>
    <cfRule type="cellIs" dxfId="6033" priority="542" operator="equal">
      <formula>0</formula>
    </cfRule>
    <cfRule type="expression" dxfId="6032" priority="543">
      <formula>$C14&gt;$E$3</formula>
    </cfRule>
  </conditionalFormatting>
  <conditionalFormatting sqref="K14:K18">
    <cfRule type="expression" dxfId="6031" priority="539">
      <formula>$E14=""</formula>
    </cfRule>
  </conditionalFormatting>
  <conditionalFormatting sqref="K14:K18">
    <cfRule type="expression" dxfId="6030" priority="538">
      <formula>$C14&lt;$E$3</formula>
    </cfRule>
  </conditionalFormatting>
  <conditionalFormatting sqref="K14:K18">
    <cfRule type="expression" dxfId="6029" priority="537">
      <formula>$E14=""</formula>
    </cfRule>
  </conditionalFormatting>
  <conditionalFormatting sqref="K14:K18">
    <cfRule type="expression" dxfId="6028" priority="536">
      <formula>$E14=""</formula>
    </cfRule>
  </conditionalFormatting>
  <conditionalFormatting sqref="K14:K18">
    <cfRule type="expression" dxfId="6027" priority="535">
      <formula>$C14&lt;$E$3</formula>
    </cfRule>
  </conditionalFormatting>
  <conditionalFormatting sqref="K14:K18">
    <cfRule type="expression" dxfId="6026" priority="534">
      <formula>$E14=""</formula>
    </cfRule>
  </conditionalFormatting>
  <conditionalFormatting sqref="K14:K18">
    <cfRule type="expression" dxfId="6025" priority="533">
      <formula>$C14&lt;$E$3</formula>
    </cfRule>
  </conditionalFormatting>
  <conditionalFormatting sqref="K14:K18">
    <cfRule type="expression" dxfId="6024" priority="532">
      <formula>$E14=""</formula>
    </cfRule>
  </conditionalFormatting>
  <conditionalFormatting sqref="K14:K18">
    <cfRule type="expression" dxfId="6023" priority="531">
      <formula>$C14&lt;$E$3</formula>
    </cfRule>
  </conditionalFormatting>
  <conditionalFormatting sqref="K14:K18">
    <cfRule type="expression" dxfId="6022" priority="530">
      <formula>$E14=""</formula>
    </cfRule>
  </conditionalFormatting>
  <conditionalFormatting sqref="K14:K18">
    <cfRule type="expression" dxfId="6021" priority="529">
      <formula>$C14&lt;$E$3</formula>
    </cfRule>
  </conditionalFormatting>
  <conditionalFormatting sqref="K14:K18">
    <cfRule type="expression" dxfId="6020" priority="525">
      <formula>$C14=$E$3</formula>
    </cfRule>
    <cfRule type="expression" dxfId="6019" priority="526">
      <formula>$C14&lt;$E$3</formula>
    </cfRule>
    <cfRule type="cellIs" dxfId="6018" priority="527" operator="equal">
      <formula>0</formula>
    </cfRule>
    <cfRule type="expression" dxfId="6017" priority="528">
      <formula>$C14&gt;$E$3</formula>
    </cfRule>
  </conditionalFormatting>
  <conditionalFormatting sqref="K14:K18">
    <cfRule type="expression" dxfId="6016" priority="524">
      <formula>$C14&lt;$E$3</formula>
    </cfRule>
  </conditionalFormatting>
  <conditionalFormatting sqref="K14:K18">
    <cfRule type="expression" dxfId="6015" priority="520">
      <formula>$C14=$E$3</formula>
    </cfRule>
    <cfRule type="expression" dxfId="6014" priority="521">
      <formula>$C14&lt;$E$3</formula>
    </cfRule>
    <cfRule type="cellIs" dxfId="6013" priority="522" operator="equal">
      <formula>0</formula>
    </cfRule>
    <cfRule type="expression" dxfId="6012" priority="523">
      <formula>$C14&gt;$E$3</formula>
    </cfRule>
  </conditionalFormatting>
  <conditionalFormatting sqref="K14:K18">
    <cfRule type="expression" dxfId="6011" priority="519">
      <formula>$C14&lt;$E$3</formula>
    </cfRule>
  </conditionalFormatting>
  <conditionalFormatting sqref="K14:K18">
    <cfRule type="expression" dxfId="6010" priority="515">
      <formula>$C14=$E$3</formula>
    </cfRule>
    <cfRule type="expression" dxfId="6009" priority="516">
      <formula>$C14&lt;$E$3</formula>
    </cfRule>
    <cfRule type="cellIs" dxfId="6008" priority="517" operator="equal">
      <formula>0</formula>
    </cfRule>
    <cfRule type="expression" dxfId="6007" priority="518">
      <formula>$C14&gt;$E$3</formula>
    </cfRule>
  </conditionalFormatting>
  <conditionalFormatting sqref="K14:K18">
    <cfRule type="expression" dxfId="6006" priority="514">
      <formula>$C14&lt;$E$3</formula>
    </cfRule>
  </conditionalFormatting>
  <conditionalFormatting sqref="K14:K18">
    <cfRule type="expression" dxfId="6005" priority="510">
      <formula>$C14=$E$3</formula>
    </cfRule>
    <cfRule type="expression" dxfId="6004" priority="511">
      <formula>$C14&lt;$E$3</formula>
    </cfRule>
    <cfRule type="cellIs" dxfId="6003" priority="512" operator="equal">
      <formula>0</formula>
    </cfRule>
    <cfRule type="expression" dxfId="6002" priority="513">
      <formula>$C14&gt;$E$3</formula>
    </cfRule>
  </conditionalFormatting>
  <conditionalFormatting sqref="K14:K18">
    <cfRule type="expression" dxfId="6001" priority="509">
      <formula>$E14=""</formula>
    </cfRule>
  </conditionalFormatting>
  <conditionalFormatting sqref="K14:K18">
    <cfRule type="expression" dxfId="6000" priority="508">
      <formula>$C14&lt;$E$3</formula>
    </cfRule>
  </conditionalFormatting>
  <conditionalFormatting sqref="K14:K18">
    <cfRule type="expression" dxfId="5999" priority="507">
      <formula>$E14=""</formula>
    </cfRule>
  </conditionalFormatting>
  <conditionalFormatting sqref="K14:K18">
    <cfRule type="expression" dxfId="5998" priority="506">
      <formula>$E14=""</formula>
    </cfRule>
  </conditionalFormatting>
  <conditionalFormatting sqref="K14:K18">
    <cfRule type="expression" dxfId="5997" priority="505">
      <formula>$C14&lt;$E$3</formula>
    </cfRule>
  </conditionalFormatting>
  <conditionalFormatting sqref="K14:K18">
    <cfRule type="expression" dxfId="5996" priority="504">
      <formula>$E14=""</formula>
    </cfRule>
  </conditionalFormatting>
  <conditionalFormatting sqref="K14:K18">
    <cfRule type="expression" dxfId="5995" priority="503">
      <formula>$C14&lt;$E$3</formula>
    </cfRule>
  </conditionalFormatting>
  <conditionalFormatting sqref="K14:K18">
    <cfRule type="expression" dxfId="5994" priority="502">
      <formula>$E14=""</formula>
    </cfRule>
  </conditionalFormatting>
  <conditionalFormatting sqref="K14:K18">
    <cfRule type="expression" dxfId="5993" priority="501">
      <formula>$C14&lt;$E$3</formula>
    </cfRule>
  </conditionalFormatting>
  <conditionalFormatting sqref="K14:K18">
    <cfRule type="expression" dxfId="5992" priority="500">
      <formula>$E14=""</formula>
    </cfRule>
  </conditionalFormatting>
  <conditionalFormatting sqref="K14:K20">
    <cfRule type="expression" dxfId="5991" priority="498">
      <formula>$C14&lt;$E$3</formula>
    </cfRule>
  </conditionalFormatting>
  <conditionalFormatting sqref="K14:K20">
    <cfRule type="expression" dxfId="5990" priority="495">
      <formula>$C14=$E$3</formula>
    </cfRule>
    <cfRule type="expression" dxfId="5989" priority="496">
      <formula>$C14&lt;$E$3</formula>
    </cfRule>
    <cfRule type="cellIs" dxfId="5988" priority="497" operator="equal">
      <formula>0</formula>
    </cfRule>
    <cfRule type="expression" dxfId="5987" priority="499">
      <formula>$C14&gt;$E$3</formula>
    </cfRule>
  </conditionalFormatting>
  <conditionalFormatting sqref="K14:K20">
    <cfRule type="expression" dxfId="5986" priority="494">
      <formula>$E14=""</formula>
    </cfRule>
  </conditionalFormatting>
  <conditionalFormatting sqref="K14:K20">
    <cfRule type="expression" dxfId="5985" priority="493">
      <formula>$E14=""</formula>
    </cfRule>
  </conditionalFormatting>
  <conditionalFormatting sqref="K14:K20">
    <cfRule type="expression" dxfId="5984" priority="492">
      <formula>$E14=""</formula>
    </cfRule>
  </conditionalFormatting>
  <conditionalFormatting sqref="K23:K29">
    <cfRule type="cellIs" dxfId="5983" priority="491" stopIfTrue="1" operator="lessThan">
      <formula>0</formula>
    </cfRule>
  </conditionalFormatting>
  <conditionalFormatting sqref="K23:K29">
    <cfRule type="expression" dxfId="5982" priority="489">
      <formula>$C23&lt;$E$3</formula>
    </cfRule>
  </conditionalFormatting>
  <conditionalFormatting sqref="K23:K29">
    <cfRule type="expression" dxfId="5981" priority="486">
      <formula>$C23=$E$3</formula>
    </cfRule>
    <cfRule type="expression" dxfId="5980" priority="487">
      <formula>$C23&lt;$E$3</formula>
    </cfRule>
    <cfRule type="cellIs" dxfId="5979" priority="488" operator="equal">
      <formula>0</formula>
    </cfRule>
    <cfRule type="expression" dxfId="5978" priority="490">
      <formula>$C23&gt;$E$3</formula>
    </cfRule>
  </conditionalFormatting>
  <conditionalFormatting sqref="K23:K29">
    <cfRule type="expression" dxfId="5977" priority="485">
      <formula>$E23=""</formula>
    </cfRule>
  </conditionalFormatting>
  <conditionalFormatting sqref="K23:K29">
    <cfRule type="expression" dxfId="5976" priority="484">
      <formula>$E23=""</formula>
    </cfRule>
  </conditionalFormatting>
  <conditionalFormatting sqref="K23:K29">
    <cfRule type="expression" dxfId="5975" priority="483">
      <formula>$E23=""</formula>
    </cfRule>
  </conditionalFormatting>
  <conditionalFormatting sqref="K28">
    <cfRule type="expression" dxfId="5974" priority="482">
      <formula>$C28&lt;$E$3</formula>
    </cfRule>
  </conditionalFormatting>
  <conditionalFormatting sqref="K28">
    <cfRule type="expression" dxfId="5973" priority="478">
      <formula>$C28=$E$3</formula>
    </cfRule>
    <cfRule type="expression" dxfId="5972" priority="479">
      <formula>$C28&lt;$E$3</formula>
    </cfRule>
    <cfRule type="cellIs" dxfId="5971" priority="480" operator="equal">
      <formula>0</formula>
    </cfRule>
    <cfRule type="expression" dxfId="5970" priority="481">
      <formula>$C28&gt;$E$3</formula>
    </cfRule>
  </conditionalFormatting>
  <conditionalFormatting sqref="K28">
    <cfRule type="expression" dxfId="5969" priority="477">
      <formula>$C28&lt;$E$3</formula>
    </cfRule>
  </conditionalFormatting>
  <conditionalFormatting sqref="K28">
    <cfRule type="expression" dxfId="5968" priority="473">
      <formula>$C28=$E$3</formula>
    </cfRule>
    <cfRule type="expression" dxfId="5967" priority="474">
      <formula>$C28&lt;$E$3</formula>
    </cfRule>
    <cfRule type="cellIs" dxfId="5966" priority="475" operator="equal">
      <formula>0</formula>
    </cfRule>
    <cfRule type="expression" dxfId="5965" priority="476">
      <formula>$C28&gt;$E$3</formula>
    </cfRule>
  </conditionalFormatting>
  <conditionalFormatting sqref="K28">
    <cfRule type="expression" dxfId="5964" priority="472">
      <formula>$C28&lt;$E$3</formula>
    </cfRule>
  </conditionalFormatting>
  <conditionalFormatting sqref="K28">
    <cfRule type="expression" dxfId="5963" priority="468">
      <formula>$C28=$E$3</formula>
    </cfRule>
    <cfRule type="expression" dxfId="5962" priority="469">
      <formula>$C28&lt;$E$3</formula>
    </cfRule>
    <cfRule type="cellIs" dxfId="5961" priority="470" operator="equal">
      <formula>0</formula>
    </cfRule>
    <cfRule type="expression" dxfId="5960" priority="471">
      <formula>$C28&gt;$E$3</formula>
    </cfRule>
  </conditionalFormatting>
  <conditionalFormatting sqref="K28">
    <cfRule type="expression" dxfId="5959" priority="467">
      <formula>$C28&lt;$E$3</formula>
    </cfRule>
  </conditionalFormatting>
  <conditionalFormatting sqref="K28">
    <cfRule type="expression" dxfId="5958" priority="463">
      <formula>$C28=$E$3</formula>
    </cfRule>
    <cfRule type="expression" dxfId="5957" priority="464">
      <formula>$C28&lt;$E$3</formula>
    </cfRule>
    <cfRule type="cellIs" dxfId="5956" priority="465" operator="equal">
      <formula>0</formula>
    </cfRule>
    <cfRule type="expression" dxfId="5955" priority="466">
      <formula>$C28&gt;$E$3</formula>
    </cfRule>
  </conditionalFormatting>
  <conditionalFormatting sqref="K28">
    <cfRule type="expression" dxfId="5954" priority="462">
      <formula>$E28=""</formula>
    </cfRule>
  </conditionalFormatting>
  <conditionalFormatting sqref="K28">
    <cfRule type="expression" dxfId="5953" priority="461">
      <formula>$C28&lt;$E$3</formula>
    </cfRule>
  </conditionalFormatting>
  <conditionalFormatting sqref="K28">
    <cfRule type="expression" dxfId="5952" priority="460">
      <formula>$E28=""</formula>
    </cfRule>
  </conditionalFormatting>
  <conditionalFormatting sqref="K28">
    <cfRule type="expression" dxfId="5951" priority="459">
      <formula>$E28=""</formula>
    </cfRule>
  </conditionalFormatting>
  <conditionalFormatting sqref="K28">
    <cfRule type="expression" dxfId="5950" priority="458">
      <formula>$C28&lt;$E$3</formula>
    </cfRule>
  </conditionalFormatting>
  <conditionalFormatting sqref="K28">
    <cfRule type="expression" dxfId="5949" priority="457">
      <formula>$E28=""</formula>
    </cfRule>
  </conditionalFormatting>
  <conditionalFormatting sqref="K28">
    <cfRule type="expression" dxfId="5948" priority="456">
      <formula>$C28&lt;$E$3</formula>
    </cfRule>
  </conditionalFormatting>
  <conditionalFormatting sqref="K28">
    <cfRule type="expression" dxfId="5947" priority="455">
      <formula>$E28=""</formula>
    </cfRule>
  </conditionalFormatting>
  <conditionalFormatting sqref="K28">
    <cfRule type="expression" dxfId="5946" priority="454">
      <formula>$C28&lt;$E$3</formula>
    </cfRule>
  </conditionalFormatting>
  <conditionalFormatting sqref="K28">
    <cfRule type="expression" dxfId="5945" priority="453">
      <formula>$E28=""</formula>
    </cfRule>
  </conditionalFormatting>
  <conditionalFormatting sqref="K28">
    <cfRule type="expression" dxfId="5944" priority="452">
      <formula>$C28&lt;$E$3</formula>
    </cfRule>
  </conditionalFormatting>
  <conditionalFormatting sqref="K28">
    <cfRule type="expression" dxfId="5943" priority="448">
      <formula>$C28=$E$3</formula>
    </cfRule>
    <cfRule type="expression" dxfId="5942" priority="449">
      <formula>$C28&lt;$E$3</formula>
    </cfRule>
    <cfRule type="cellIs" dxfId="5941" priority="450" operator="equal">
      <formula>0</formula>
    </cfRule>
    <cfRule type="expression" dxfId="5940" priority="451">
      <formula>$C28&gt;$E$3</formula>
    </cfRule>
  </conditionalFormatting>
  <conditionalFormatting sqref="K28">
    <cfRule type="expression" dxfId="5939" priority="447">
      <formula>$C28&lt;$E$3</formula>
    </cfRule>
  </conditionalFormatting>
  <conditionalFormatting sqref="K28">
    <cfRule type="expression" dxfId="5938" priority="443">
      <formula>$C28=$E$3</formula>
    </cfRule>
    <cfRule type="expression" dxfId="5937" priority="444">
      <formula>$C28&lt;$E$3</formula>
    </cfRule>
    <cfRule type="cellIs" dxfId="5936" priority="445" operator="equal">
      <formula>0</formula>
    </cfRule>
    <cfRule type="expression" dxfId="5935" priority="446">
      <formula>$C28&gt;$E$3</formula>
    </cfRule>
  </conditionalFormatting>
  <conditionalFormatting sqref="K28">
    <cfRule type="expression" dxfId="5934" priority="442">
      <formula>$C28&lt;$E$3</formula>
    </cfRule>
  </conditionalFormatting>
  <conditionalFormatting sqref="K28">
    <cfRule type="expression" dxfId="5933" priority="438">
      <formula>$C28=$E$3</formula>
    </cfRule>
    <cfRule type="expression" dxfId="5932" priority="439">
      <formula>$C28&lt;$E$3</formula>
    </cfRule>
    <cfRule type="cellIs" dxfId="5931" priority="440" operator="equal">
      <formula>0</formula>
    </cfRule>
    <cfRule type="expression" dxfId="5930" priority="441">
      <formula>$C28&gt;$E$3</formula>
    </cfRule>
  </conditionalFormatting>
  <conditionalFormatting sqref="K28">
    <cfRule type="expression" dxfId="5929" priority="437">
      <formula>$C28&lt;$E$3</formula>
    </cfRule>
  </conditionalFormatting>
  <conditionalFormatting sqref="K28">
    <cfRule type="expression" dxfId="5928" priority="433">
      <formula>$C28=$E$3</formula>
    </cfRule>
    <cfRule type="expression" dxfId="5927" priority="434">
      <formula>$C28&lt;$E$3</formula>
    </cfRule>
    <cfRule type="cellIs" dxfId="5926" priority="435" operator="equal">
      <formula>0</formula>
    </cfRule>
    <cfRule type="expression" dxfId="5925" priority="436">
      <formula>$C28&gt;$E$3</formula>
    </cfRule>
  </conditionalFormatting>
  <conditionalFormatting sqref="K28">
    <cfRule type="expression" dxfId="5924" priority="432">
      <formula>$E28=""</formula>
    </cfRule>
  </conditionalFormatting>
  <conditionalFormatting sqref="K28">
    <cfRule type="expression" dxfId="5923" priority="431">
      <formula>$C28&lt;$E$3</formula>
    </cfRule>
  </conditionalFormatting>
  <conditionalFormatting sqref="K28">
    <cfRule type="expression" dxfId="5922" priority="430">
      <formula>$E28=""</formula>
    </cfRule>
  </conditionalFormatting>
  <conditionalFormatting sqref="K28">
    <cfRule type="expression" dxfId="5921" priority="429">
      <formula>$E28=""</formula>
    </cfRule>
  </conditionalFormatting>
  <conditionalFormatting sqref="K28">
    <cfRule type="expression" dxfId="5920" priority="428">
      <formula>$C28&lt;$E$3</formula>
    </cfRule>
  </conditionalFormatting>
  <conditionalFormatting sqref="K28">
    <cfRule type="expression" dxfId="5919" priority="427">
      <formula>$E28=""</formula>
    </cfRule>
  </conditionalFormatting>
  <conditionalFormatting sqref="K28">
    <cfRule type="expression" dxfId="5918" priority="426">
      <formula>$C28&lt;$E$3</formula>
    </cfRule>
  </conditionalFormatting>
  <conditionalFormatting sqref="K28">
    <cfRule type="expression" dxfId="5917" priority="425">
      <formula>$E28=""</formula>
    </cfRule>
  </conditionalFormatting>
  <conditionalFormatting sqref="K28">
    <cfRule type="expression" dxfId="5916" priority="424">
      <formula>$C28&lt;$E$3</formula>
    </cfRule>
  </conditionalFormatting>
  <conditionalFormatting sqref="K28">
    <cfRule type="expression" dxfId="5915" priority="423">
      <formula>$E28=""</formula>
    </cfRule>
  </conditionalFormatting>
  <conditionalFormatting sqref="K23:K27">
    <cfRule type="expression" dxfId="5914" priority="422">
      <formula>$C23&lt;$E$3</formula>
    </cfRule>
  </conditionalFormatting>
  <conditionalFormatting sqref="K23:K27">
    <cfRule type="expression" dxfId="5913" priority="418">
      <formula>$C23=$E$3</formula>
    </cfRule>
    <cfRule type="expression" dxfId="5912" priority="419">
      <formula>$C23&lt;$E$3</formula>
    </cfRule>
    <cfRule type="cellIs" dxfId="5911" priority="420" operator="equal">
      <formula>0</formula>
    </cfRule>
    <cfRule type="expression" dxfId="5910" priority="421">
      <formula>$C23&gt;$E$3</formula>
    </cfRule>
  </conditionalFormatting>
  <conditionalFormatting sqref="K23:K27">
    <cfRule type="expression" dxfId="5909" priority="417">
      <formula>$C23&lt;$E$3</formula>
    </cfRule>
  </conditionalFormatting>
  <conditionalFormatting sqref="K23:K27">
    <cfRule type="expression" dxfId="5908" priority="413">
      <formula>$C23=$E$3</formula>
    </cfRule>
    <cfRule type="expression" dxfId="5907" priority="414">
      <formula>$C23&lt;$E$3</formula>
    </cfRule>
    <cfRule type="cellIs" dxfId="5906" priority="415" operator="equal">
      <formula>0</formula>
    </cfRule>
    <cfRule type="expression" dxfId="5905" priority="416">
      <formula>$C23&gt;$E$3</formula>
    </cfRule>
  </conditionalFormatting>
  <conditionalFormatting sqref="K23:K27">
    <cfRule type="expression" dxfId="5904" priority="412">
      <formula>$C23&lt;$E$3</formula>
    </cfRule>
  </conditionalFormatting>
  <conditionalFormatting sqref="K23:K27">
    <cfRule type="expression" dxfId="5903" priority="408">
      <formula>$C23=$E$3</formula>
    </cfRule>
    <cfRule type="expression" dxfId="5902" priority="409">
      <formula>$C23&lt;$E$3</formula>
    </cfRule>
    <cfRule type="cellIs" dxfId="5901" priority="410" operator="equal">
      <formula>0</formula>
    </cfRule>
    <cfRule type="expression" dxfId="5900" priority="411">
      <formula>$C23&gt;$E$3</formula>
    </cfRule>
  </conditionalFormatting>
  <conditionalFormatting sqref="K23:K27">
    <cfRule type="expression" dxfId="5899" priority="407">
      <formula>$C23&lt;$E$3</formula>
    </cfRule>
  </conditionalFormatting>
  <conditionalFormatting sqref="K23:K27">
    <cfRule type="expression" dxfId="5898" priority="403">
      <formula>$C23=$E$3</formula>
    </cfRule>
    <cfRule type="expression" dxfId="5897" priority="404">
      <formula>$C23&lt;$E$3</formula>
    </cfRule>
    <cfRule type="cellIs" dxfId="5896" priority="405" operator="equal">
      <formula>0</formula>
    </cfRule>
    <cfRule type="expression" dxfId="5895" priority="406">
      <formula>$C23&gt;$E$3</formula>
    </cfRule>
  </conditionalFormatting>
  <conditionalFormatting sqref="K23:K27">
    <cfRule type="expression" dxfId="5894" priority="402">
      <formula>$E23=""</formula>
    </cfRule>
  </conditionalFormatting>
  <conditionalFormatting sqref="K23:K27">
    <cfRule type="expression" dxfId="5893" priority="401">
      <formula>$C23&lt;$E$3</formula>
    </cfRule>
  </conditionalFormatting>
  <conditionalFormatting sqref="K23:K27">
    <cfRule type="expression" dxfId="5892" priority="400">
      <formula>$E23=""</formula>
    </cfRule>
  </conditionalFormatting>
  <conditionalFormatting sqref="K23:K27">
    <cfRule type="expression" dxfId="5891" priority="399">
      <formula>$E23=""</formula>
    </cfRule>
  </conditionalFormatting>
  <conditionalFormatting sqref="K23:K27">
    <cfRule type="expression" dxfId="5890" priority="398">
      <formula>$C23&lt;$E$3</formula>
    </cfRule>
  </conditionalFormatting>
  <conditionalFormatting sqref="K23:K27">
    <cfRule type="expression" dxfId="5889" priority="397">
      <formula>$E23=""</formula>
    </cfRule>
  </conditionalFormatting>
  <conditionalFormatting sqref="K23:K27">
    <cfRule type="expression" dxfId="5888" priority="396">
      <formula>$C23&lt;$E$3</formula>
    </cfRule>
  </conditionalFormatting>
  <conditionalFormatting sqref="K23:K27">
    <cfRule type="expression" dxfId="5887" priority="395">
      <formula>$E23=""</formula>
    </cfRule>
  </conditionalFormatting>
  <conditionalFormatting sqref="K23:K27">
    <cfRule type="expression" dxfId="5886" priority="394">
      <formula>$C23&lt;$E$3</formula>
    </cfRule>
  </conditionalFormatting>
  <conditionalFormatting sqref="K23:K27">
    <cfRule type="expression" dxfId="5885" priority="393">
      <formula>$E23=""</formula>
    </cfRule>
  </conditionalFormatting>
  <conditionalFormatting sqref="K23:K27">
    <cfRule type="expression" dxfId="5884" priority="392">
      <formula>$C23&lt;$E$3</formula>
    </cfRule>
  </conditionalFormatting>
  <conditionalFormatting sqref="K23:K27">
    <cfRule type="expression" dxfId="5883" priority="388">
      <formula>$C23=$E$3</formula>
    </cfRule>
    <cfRule type="expression" dxfId="5882" priority="389">
      <formula>$C23&lt;$E$3</formula>
    </cfRule>
    <cfRule type="cellIs" dxfId="5881" priority="390" operator="equal">
      <formula>0</formula>
    </cfRule>
    <cfRule type="expression" dxfId="5880" priority="391">
      <formula>$C23&gt;$E$3</formula>
    </cfRule>
  </conditionalFormatting>
  <conditionalFormatting sqref="K23:K27">
    <cfRule type="expression" dxfId="5879" priority="387">
      <formula>$C23&lt;$E$3</formula>
    </cfRule>
  </conditionalFormatting>
  <conditionalFormatting sqref="K23:K27">
    <cfRule type="expression" dxfId="5878" priority="383">
      <formula>$C23=$E$3</formula>
    </cfRule>
    <cfRule type="expression" dxfId="5877" priority="384">
      <formula>$C23&lt;$E$3</formula>
    </cfRule>
    <cfRule type="cellIs" dxfId="5876" priority="385" operator="equal">
      <formula>0</formula>
    </cfRule>
    <cfRule type="expression" dxfId="5875" priority="386">
      <formula>$C23&gt;$E$3</formula>
    </cfRule>
  </conditionalFormatting>
  <conditionalFormatting sqref="K23:K27">
    <cfRule type="expression" dxfId="5874" priority="382">
      <formula>$C23&lt;$E$3</formula>
    </cfRule>
  </conditionalFormatting>
  <conditionalFormatting sqref="K23:K27">
    <cfRule type="expression" dxfId="5873" priority="378">
      <formula>$C23=$E$3</formula>
    </cfRule>
    <cfRule type="expression" dxfId="5872" priority="379">
      <formula>$C23&lt;$E$3</formula>
    </cfRule>
    <cfRule type="cellIs" dxfId="5871" priority="380" operator="equal">
      <formula>0</formula>
    </cfRule>
    <cfRule type="expression" dxfId="5870" priority="381">
      <formula>$C23&gt;$E$3</formula>
    </cfRule>
  </conditionalFormatting>
  <conditionalFormatting sqref="K23:K27">
    <cfRule type="expression" dxfId="5869" priority="377">
      <formula>$C23&lt;$E$3</formula>
    </cfRule>
  </conditionalFormatting>
  <conditionalFormatting sqref="K23:K27">
    <cfRule type="expression" dxfId="5868" priority="373">
      <formula>$C23=$E$3</formula>
    </cfRule>
    <cfRule type="expression" dxfId="5867" priority="374">
      <formula>$C23&lt;$E$3</formula>
    </cfRule>
    <cfRule type="cellIs" dxfId="5866" priority="375" operator="equal">
      <formula>0</formula>
    </cfRule>
    <cfRule type="expression" dxfId="5865" priority="376">
      <formula>$C23&gt;$E$3</formula>
    </cfRule>
  </conditionalFormatting>
  <conditionalFormatting sqref="K23:K27">
    <cfRule type="expression" dxfId="5864" priority="372">
      <formula>$E23=""</formula>
    </cfRule>
  </conditionalFormatting>
  <conditionalFormatting sqref="K23:K27">
    <cfRule type="expression" dxfId="5863" priority="371">
      <formula>$C23&lt;$E$3</formula>
    </cfRule>
  </conditionalFormatting>
  <conditionalFormatting sqref="K23:K27">
    <cfRule type="expression" dxfId="5862" priority="370">
      <formula>$E23=""</formula>
    </cfRule>
  </conditionalFormatting>
  <conditionalFormatting sqref="K23:K27">
    <cfRule type="expression" dxfId="5861" priority="369">
      <formula>$E23=""</formula>
    </cfRule>
  </conditionalFormatting>
  <conditionalFormatting sqref="K23:K27">
    <cfRule type="expression" dxfId="5860" priority="368">
      <formula>$C23&lt;$E$3</formula>
    </cfRule>
  </conditionalFormatting>
  <conditionalFormatting sqref="K23:K27">
    <cfRule type="expression" dxfId="5859" priority="367">
      <formula>$E23=""</formula>
    </cfRule>
  </conditionalFormatting>
  <conditionalFormatting sqref="K23:K27">
    <cfRule type="expression" dxfId="5858" priority="366">
      <formula>$C23&lt;$E$3</formula>
    </cfRule>
  </conditionalFormatting>
  <conditionalFormatting sqref="K23:K27">
    <cfRule type="expression" dxfId="5857" priority="365">
      <formula>$E23=""</formula>
    </cfRule>
  </conditionalFormatting>
  <conditionalFormatting sqref="K23:K27">
    <cfRule type="expression" dxfId="5856" priority="364">
      <formula>$C23&lt;$E$3</formula>
    </cfRule>
  </conditionalFormatting>
  <conditionalFormatting sqref="K23:K27">
    <cfRule type="expression" dxfId="5855" priority="363">
      <formula>$E23=""</formula>
    </cfRule>
  </conditionalFormatting>
  <conditionalFormatting sqref="K23:K29">
    <cfRule type="expression" dxfId="5854" priority="361">
      <formula>$C23&lt;$E$3</formula>
    </cfRule>
  </conditionalFormatting>
  <conditionalFormatting sqref="K23:K29">
    <cfRule type="expression" dxfId="5853" priority="358">
      <formula>$C23=$E$3</formula>
    </cfRule>
    <cfRule type="expression" dxfId="5852" priority="359">
      <formula>$C23&lt;$E$3</formula>
    </cfRule>
    <cfRule type="cellIs" dxfId="5851" priority="360" operator="equal">
      <formula>0</formula>
    </cfRule>
    <cfRule type="expression" dxfId="5850" priority="362">
      <formula>$C23&gt;$E$3</formula>
    </cfRule>
  </conditionalFormatting>
  <conditionalFormatting sqref="K23:K29">
    <cfRule type="expression" dxfId="5849" priority="357">
      <formula>$E23=""</formula>
    </cfRule>
  </conditionalFormatting>
  <conditionalFormatting sqref="K23:K29">
    <cfRule type="expression" dxfId="5848" priority="356">
      <formula>$E23=""</formula>
    </cfRule>
  </conditionalFormatting>
  <conditionalFormatting sqref="K23:K29">
    <cfRule type="expression" dxfId="5847" priority="355">
      <formula>$E23=""</formula>
    </cfRule>
  </conditionalFormatting>
  <conditionalFormatting sqref="K32:K38">
    <cfRule type="cellIs" dxfId="5846" priority="354" stopIfTrue="1" operator="lessThan">
      <formula>0</formula>
    </cfRule>
  </conditionalFormatting>
  <conditionalFormatting sqref="K32:K38">
    <cfRule type="expression" dxfId="5845" priority="352">
      <formula>$C32&lt;$E$3</formula>
    </cfRule>
  </conditionalFormatting>
  <conditionalFormatting sqref="K32:K38">
    <cfRule type="expression" dxfId="5844" priority="349">
      <formula>$C32=$E$3</formula>
    </cfRule>
    <cfRule type="expression" dxfId="5843" priority="350">
      <formula>$C32&lt;$E$3</formula>
    </cfRule>
    <cfRule type="cellIs" dxfId="5842" priority="351" operator="equal">
      <formula>0</formula>
    </cfRule>
    <cfRule type="expression" dxfId="5841" priority="353">
      <formula>$C32&gt;$E$3</formula>
    </cfRule>
  </conditionalFormatting>
  <conditionalFormatting sqref="K32:K38">
    <cfRule type="expression" dxfId="5840" priority="348">
      <formula>$E32=""</formula>
    </cfRule>
  </conditionalFormatting>
  <conditionalFormatting sqref="K32:K38">
    <cfRule type="expression" dxfId="5839" priority="347">
      <formula>$E32=""</formula>
    </cfRule>
  </conditionalFormatting>
  <conditionalFormatting sqref="K32:K38">
    <cfRule type="expression" dxfId="5838" priority="346">
      <formula>$E32=""</formula>
    </cfRule>
  </conditionalFormatting>
  <conditionalFormatting sqref="K37">
    <cfRule type="expression" dxfId="5837" priority="345">
      <formula>$C37&lt;$E$3</formula>
    </cfRule>
  </conditionalFormatting>
  <conditionalFormatting sqref="K37">
    <cfRule type="expression" dxfId="5836" priority="341">
      <formula>$C37=$E$3</formula>
    </cfRule>
    <cfRule type="expression" dxfId="5835" priority="342">
      <formula>$C37&lt;$E$3</formula>
    </cfRule>
    <cfRule type="cellIs" dxfId="5834" priority="343" operator="equal">
      <formula>0</formula>
    </cfRule>
    <cfRule type="expression" dxfId="5833" priority="344">
      <formula>$C37&gt;$E$3</formula>
    </cfRule>
  </conditionalFormatting>
  <conditionalFormatting sqref="K37">
    <cfRule type="expression" dxfId="5832" priority="340">
      <formula>$C37&lt;$E$3</formula>
    </cfRule>
  </conditionalFormatting>
  <conditionalFormatting sqref="K37">
    <cfRule type="expression" dxfId="5831" priority="336">
      <formula>$C37=$E$3</formula>
    </cfRule>
    <cfRule type="expression" dxfId="5830" priority="337">
      <formula>$C37&lt;$E$3</formula>
    </cfRule>
    <cfRule type="cellIs" dxfId="5829" priority="338" operator="equal">
      <formula>0</formula>
    </cfRule>
    <cfRule type="expression" dxfId="5828" priority="339">
      <formula>$C37&gt;$E$3</formula>
    </cfRule>
  </conditionalFormatting>
  <conditionalFormatting sqref="K37">
    <cfRule type="expression" dxfId="5827" priority="325">
      <formula>$E37=""</formula>
    </cfRule>
  </conditionalFormatting>
  <conditionalFormatting sqref="K37">
    <cfRule type="expression" dxfId="5826" priority="324">
      <formula>$C37&lt;$E$3</formula>
    </cfRule>
  </conditionalFormatting>
  <conditionalFormatting sqref="K37">
    <cfRule type="expression" dxfId="5825" priority="323">
      <formula>$E37=""</formula>
    </cfRule>
  </conditionalFormatting>
  <conditionalFormatting sqref="K37">
    <cfRule type="expression" dxfId="5824" priority="322">
      <formula>$E37=""</formula>
    </cfRule>
  </conditionalFormatting>
  <conditionalFormatting sqref="K37">
    <cfRule type="expression" dxfId="5823" priority="321">
      <formula>$C37&lt;$E$3</formula>
    </cfRule>
  </conditionalFormatting>
  <conditionalFormatting sqref="K37">
    <cfRule type="expression" dxfId="5822" priority="320">
      <formula>$E37=""</formula>
    </cfRule>
  </conditionalFormatting>
  <conditionalFormatting sqref="K37">
    <cfRule type="expression" dxfId="5821" priority="319">
      <formula>$C37&lt;$E$3</formula>
    </cfRule>
  </conditionalFormatting>
  <conditionalFormatting sqref="K37">
    <cfRule type="expression" dxfId="5820" priority="318">
      <formula>$E37=""</formula>
    </cfRule>
  </conditionalFormatting>
  <conditionalFormatting sqref="K37">
    <cfRule type="expression" dxfId="5819" priority="317">
      <formula>$C37&lt;$E$3</formula>
    </cfRule>
  </conditionalFormatting>
  <conditionalFormatting sqref="K37">
    <cfRule type="expression" dxfId="5818" priority="316">
      <formula>$E37=""</formula>
    </cfRule>
  </conditionalFormatting>
  <conditionalFormatting sqref="K37">
    <cfRule type="expression" dxfId="5817" priority="315">
      <formula>$C37&lt;$E$3</formula>
    </cfRule>
  </conditionalFormatting>
  <conditionalFormatting sqref="K37">
    <cfRule type="expression" dxfId="5816" priority="311">
      <formula>$C37=$E$3</formula>
    </cfRule>
    <cfRule type="expression" dxfId="5815" priority="312">
      <formula>$C37&lt;$E$3</formula>
    </cfRule>
    <cfRule type="cellIs" dxfId="5814" priority="313" operator="equal">
      <formula>0</formula>
    </cfRule>
    <cfRule type="expression" dxfId="5813" priority="314">
      <formula>$C37&gt;$E$3</formula>
    </cfRule>
  </conditionalFormatting>
  <conditionalFormatting sqref="K37">
    <cfRule type="expression" dxfId="5812" priority="310">
      <formula>$C37&lt;$E$3</formula>
    </cfRule>
  </conditionalFormatting>
  <conditionalFormatting sqref="K37">
    <cfRule type="expression" dxfId="5811" priority="306">
      <formula>$C37=$E$3</formula>
    </cfRule>
    <cfRule type="expression" dxfId="5810" priority="307">
      <formula>$C37&lt;$E$3</formula>
    </cfRule>
    <cfRule type="cellIs" dxfId="5809" priority="308" operator="equal">
      <formula>0</formula>
    </cfRule>
    <cfRule type="expression" dxfId="5808" priority="309">
      <formula>$C37&gt;$E$3</formula>
    </cfRule>
  </conditionalFormatting>
  <conditionalFormatting sqref="K37">
    <cfRule type="expression" dxfId="5807" priority="295">
      <formula>$E37=""</formula>
    </cfRule>
  </conditionalFormatting>
  <conditionalFormatting sqref="K37">
    <cfRule type="expression" dxfId="5806" priority="294">
      <formula>$C37&lt;$E$3</formula>
    </cfRule>
  </conditionalFormatting>
  <conditionalFormatting sqref="K37">
    <cfRule type="expression" dxfId="5805" priority="293">
      <formula>$E37=""</formula>
    </cfRule>
  </conditionalFormatting>
  <conditionalFormatting sqref="K37">
    <cfRule type="expression" dxfId="5804" priority="292">
      <formula>$E37=""</formula>
    </cfRule>
  </conditionalFormatting>
  <conditionalFormatting sqref="K37">
    <cfRule type="expression" dxfId="5803" priority="291">
      <formula>$C37&lt;$E$3</formula>
    </cfRule>
  </conditionalFormatting>
  <conditionalFormatting sqref="K37">
    <cfRule type="expression" dxfId="5802" priority="290">
      <formula>$E37=""</formula>
    </cfRule>
  </conditionalFormatting>
  <conditionalFormatting sqref="K37">
    <cfRule type="expression" dxfId="5801" priority="289">
      <formula>$C37&lt;$E$3</formula>
    </cfRule>
  </conditionalFormatting>
  <conditionalFormatting sqref="K37">
    <cfRule type="expression" dxfId="5800" priority="288">
      <formula>$E37=""</formula>
    </cfRule>
  </conditionalFormatting>
  <conditionalFormatting sqref="K37">
    <cfRule type="expression" dxfId="5799" priority="287">
      <formula>$C37&lt;$E$3</formula>
    </cfRule>
  </conditionalFormatting>
  <conditionalFormatting sqref="K37">
    <cfRule type="expression" dxfId="5798" priority="286">
      <formula>$E37=""</formula>
    </cfRule>
  </conditionalFormatting>
  <conditionalFormatting sqref="K32:K36">
    <cfRule type="expression" dxfId="5797" priority="285">
      <formula>$C32&lt;$E$3</formula>
    </cfRule>
  </conditionalFormatting>
  <conditionalFormatting sqref="K32:K36">
    <cfRule type="expression" dxfId="5796" priority="281">
      <formula>$C32=$E$3</formula>
    </cfRule>
    <cfRule type="expression" dxfId="5795" priority="282">
      <formula>$C32&lt;$E$3</formula>
    </cfRule>
    <cfRule type="cellIs" dxfId="5794" priority="283" operator="equal">
      <formula>0</formula>
    </cfRule>
    <cfRule type="expression" dxfId="5793" priority="284">
      <formula>$C32&gt;$E$3</formula>
    </cfRule>
  </conditionalFormatting>
  <conditionalFormatting sqref="K32:K36">
    <cfRule type="expression" dxfId="5792" priority="280">
      <formula>$C32&lt;$E$3</formula>
    </cfRule>
  </conditionalFormatting>
  <conditionalFormatting sqref="K32:K36">
    <cfRule type="expression" dxfId="5791" priority="276">
      <formula>$C32=$E$3</formula>
    </cfRule>
    <cfRule type="expression" dxfId="5790" priority="277">
      <formula>$C32&lt;$E$3</formula>
    </cfRule>
    <cfRule type="cellIs" dxfId="5789" priority="278" operator="equal">
      <formula>0</formula>
    </cfRule>
    <cfRule type="expression" dxfId="5788" priority="279">
      <formula>$C32&gt;$E$3</formula>
    </cfRule>
  </conditionalFormatting>
  <conditionalFormatting sqref="K32:K36">
    <cfRule type="expression" dxfId="5787" priority="265">
      <formula>$E32=""</formula>
    </cfRule>
  </conditionalFormatting>
  <conditionalFormatting sqref="K32:K36">
    <cfRule type="expression" dxfId="5786" priority="264">
      <formula>$C32&lt;$E$3</formula>
    </cfRule>
  </conditionalFormatting>
  <conditionalFormatting sqref="K32:K36">
    <cfRule type="expression" dxfId="5785" priority="263">
      <formula>$E32=""</formula>
    </cfRule>
  </conditionalFormatting>
  <conditionalFormatting sqref="K32:K36">
    <cfRule type="expression" dxfId="5784" priority="262">
      <formula>$E32=""</formula>
    </cfRule>
  </conditionalFormatting>
  <conditionalFormatting sqref="K32:K36">
    <cfRule type="expression" dxfId="5783" priority="261">
      <formula>$C32&lt;$E$3</formula>
    </cfRule>
  </conditionalFormatting>
  <conditionalFormatting sqref="K32:K36">
    <cfRule type="expression" dxfId="5782" priority="260">
      <formula>$E32=""</formula>
    </cfRule>
  </conditionalFormatting>
  <conditionalFormatting sqref="K32:K36">
    <cfRule type="expression" dxfId="5781" priority="259">
      <formula>$C32&lt;$E$3</formula>
    </cfRule>
  </conditionalFormatting>
  <conditionalFormatting sqref="K32:K36">
    <cfRule type="expression" dxfId="5780" priority="258">
      <formula>$E32=""</formula>
    </cfRule>
  </conditionalFormatting>
  <conditionalFormatting sqref="K32:K36">
    <cfRule type="expression" dxfId="5779" priority="257">
      <formula>$C32&lt;$E$3</formula>
    </cfRule>
  </conditionalFormatting>
  <conditionalFormatting sqref="K32:K36">
    <cfRule type="expression" dxfId="5778" priority="256">
      <formula>$E32=""</formula>
    </cfRule>
  </conditionalFormatting>
  <conditionalFormatting sqref="K32:K36">
    <cfRule type="expression" dxfId="5777" priority="255">
      <formula>$C32&lt;$E$3</formula>
    </cfRule>
  </conditionalFormatting>
  <conditionalFormatting sqref="K32:K36">
    <cfRule type="expression" dxfId="5776" priority="251">
      <formula>$C32=$E$3</formula>
    </cfRule>
    <cfRule type="expression" dxfId="5775" priority="252">
      <formula>$C32&lt;$E$3</formula>
    </cfRule>
    <cfRule type="cellIs" dxfId="5774" priority="253" operator="equal">
      <formula>0</formula>
    </cfRule>
    <cfRule type="expression" dxfId="5773" priority="254">
      <formula>$C32&gt;$E$3</formula>
    </cfRule>
  </conditionalFormatting>
  <conditionalFormatting sqref="K32:K36">
    <cfRule type="expression" dxfId="5772" priority="250">
      <formula>$C32&lt;$E$3</formula>
    </cfRule>
  </conditionalFormatting>
  <conditionalFormatting sqref="K32:K36">
    <cfRule type="expression" dxfId="5771" priority="246">
      <formula>$C32=$E$3</formula>
    </cfRule>
    <cfRule type="expression" dxfId="5770" priority="247">
      <formula>$C32&lt;$E$3</formula>
    </cfRule>
    <cfRule type="cellIs" dxfId="5769" priority="248" operator="equal">
      <formula>0</formula>
    </cfRule>
    <cfRule type="expression" dxfId="5768" priority="249">
      <formula>$C32&gt;$E$3</formula>
    </cfRule>
  </conditionalFormatting>
  <conditionalFormatting sqref="K32:K36">
    <cfRule type="expression" dxfId="5767" priority="245">
      <formula>$C32&lt;$E$3</formula>
    </cfRule>
  </conditionalFormatting>
  <conditionalFormatting sqref="K32:K36">
    <cfRule type="expression" dxfId="5766" priority="241">
      <formula>$C32=$E$3</formula>
    </cfRule>
    <cfRule type="expression" dxfId="5765" priority="242">
      <formula>$C32&lt;$E$3</formula>
    </cfRule>
    <cfRule type="cellIs" dxfId="5764" priority="243" operator="equal">
      <formula>0</formula>
    </cfRule>
    <cfRule type="expression" dxfId="5763" priority="244">
      <formula>$C32&gt;$E$3</formula>
    </cfRule>
  </conditionalFormatting>
  <conditionalFormatting sqref="K32:K36">
    <cfRule type="expression" dxfId="5762" priority="240">
      <formula>$C32&lt;$E$3</formula>
    </cfRule>
  </conditionalFormatting>
  <conditionalFormatting sqref="K32:K36">
    <cfRule type="expression" dxfId="5761" priority="236">
      <formula>$C32=$E$3</formula>
    </cfRule>
    <cfRule type="expression" dxfId="5760" priority="237">
      <formula>$C32&lt;$E$3</formula>
    </cfRule>
    <cfRule type="cellIs" dxfId="5759" priority="238" operator="equal">
      <formula>0</formula>
    </cfRule>
    <cfRule type="expression" dxfId="5758" priority="239">
      <formula>$C32&gt;$E$3</formula>
    </cfRule>
  </conditionalFormatting>
  <conditionalFormatting sqref="K32:K36">
    <cfRule type="expression" dxfId="5757" priority="235">
      <formula>$E32=""</formula>
    </cfRule>
  </conditionalFormatting>
  <conditionalFormatting sqref="K32:K36">
    <cfRule type="expression" dxfId="5756" priority="234">
      <formula>$C32&lt;$E$3</formula>
    </cfRule>
  </conditionalFormatting>
  <conditionalFormatting sqref="K32:K36">
    <cfRule type="expression" dxfId="5755" priority="233">
      <formula>$E32=""</formula>
    </cfRule>
  </conditionalFormatting>
  <conditionalFormatting sqref="K32:K36">
    <cfRule type="expression" dxfId="5754" priority="232">
      <formula>$E32=""</formula>
    </cfRule>
  </conditionalFormatting>
  <conditionalFormatting sqref="K32:K36">
    <cfRule type="expression" dxfId="5753" priority="231">
      <formula>$C32&lt;$E$3</formula>
    </cfRule>
  </conditionalFormatting>
  <conditionalFormatting sqref="K32:K36">
    <cfRule type="expression" dxfId="5752" priority="230">
      <formula>$E32=""</formula>
    </cfRule>
  </conditionalFormatting>
  <conditionalFormatting sqref="K32:K36">
    <cfRule type="expression" dxfId="5751" priority="229">
      <formula>$C32&lt;$E$3</formula>
    </cfRule>
  </conditionalFormatting>
  <conditionalFormatting sqref="K32:K36">
    <cfRule type="expression" dxfId="5750" priority="228">
      <formula>$E32=""</formula>
    </cfRule>
  </conditionalFormatting>
  <conditionalFormatting sqref="K32:K36">
    <cfRule type="expression" dxfId="5749" priority="227">
      <formula>$C32&lt;$E$3</formula>
    </cfRule>
  </conditionalFormatting>
  <conditionalFormatting sqref="K32:K36">
    <cfRule type="expression" dxfId="5748" priority="226">
      <formula>$E32=""</formula>
    </cfRule>
  </conditionalFormatting>
  <conditionalFormatting sqref="K32:K38">
    <cfRule type="expression" dxfId="5747" priority="224">
      <formula>$C32&lt;$E$3</formula>
    </cfRule>
  </conditionalFormatting>
  <conditionalFormatting sqref="K32:K38">
    <cfRule type="expression" dxfId="5746" priority="221">
      <formula>$C32=$E$3</formula>
    </cfRule>
    <cfRule type="expression" dxfId="5745" priority="222">
      <formula>$C32&lt;$E$3</formula>
    </cfRule>
    <cfRule type="cellIs" dxfId="5744" priority="223" operator="equal">
      <formula>0</formula>
    </cfRule>
    <cfRule type="expression" dxfId="5743" priority="225">
      <formula>$C32&gt;$E$3</formula>
    </cfRule>
  </conditionalFormatting>
  <conditionalFormatting sqref="K32:K38">
    <cfRule type="expression" dxfId="5742" priority="220">
      <formula>$E32=""</formula>
    </cfRule>
  </conditionalFormatting>
  <conditionalFormatting sqref="K32:K38">
    <cfRule type="expression" dxfId="5741" priority="219">
      <formula>$E32=""</formula>
    </cfRule>
  </conditionalFormatting>
  <conditionalFormatting sqref="K32:K38">
    <cfRule type="expression" dxfId="5740" priority="218">
      <formula>$E32=""</formula>
    </cfRule>
  </conditionalFormatting>
  <conditionalFormatting sqref="K41:K47">
    <cfRule type="cellIs" dxfId="5739" priority="217" stopIfTrue="1" operator="lessThan">
      <formula>0</formula>
    </cfRule>
  </conditionalFormatting>
  <conditionalFormatting sqref="K41:K47">
    <cfRule type="expression" dxfId="5738" priority="215">
      <formula>$C41&lt;$E$3</formula>
    </cfRule>
  </conditionalFormatting>
  <conditionalFormatting sqref="K41:K47">
    <cfRule type="expression" dxfId="5737" priority="212">
      <formula>$C41=$E$3</formula>
    </cfRule>
    <cfRule type="expression" dxfId="5736" priority="213">
      <formula>$C41&lt;$E$3</formula>
    </cfRule>
    <cfRule type="cellIs" dxfId="5735" priority="214" operator="equal">
      <formula>0</formula>
    </cfRule>
    <cfRule type="expression" dxfId="5734" priority="216">
      <formula>$C41&gt;$E$3</formula>
    </cfRule>
  </conditionalFormatting>
  <conditionalFormatting sqref="K41:K47">
    <cfRule type="expression" dxfId="5733" priority="211">
      <formula>$E41=""</formula>
    </cfRule>
  </conditionalFormatting>
  <conditionalFormatting sqref="K41:K47">
    <cfRule type="expression" dxfId="5732" priority="210">
      <formula>$E41=""</formula>
    </cfRule>
  </conditionalFormatting>
  <conditionalFormatting sqref="K41:K47">
    <cfRule type="expression" dxfId="5731" priority="209">
      <formula>$E41=""</formula>
    </cfRule>
  </conditionalFormatting>
  <conditionalFormatting sqref="K46">
    <cfRule type="expression" dxfId="5730" priority="208">
      <formula>$C46&lt;$E$3</formula>
    </cfRule>
  </conditionalFormatting>
  <conditionalFormatting sqref="K46">
    <cfRule type="expression" dxfId="5729" priority="204">
      <formula>$C46=$E$3</formula>
    </cfRule>
    <cfRule type="expression" dxfId="5728" priority="205">
      <formula>$C46&lt;$E$3</formula>
    </cfRule>
    <cfRule type="cellIs" dxfId="5727" priority="206" operator="equal">
      <formula>0</formula>
    </cfRule>
    <cfRule type="expression" dxfId="5726" priority="207">
      <formula>$C46&gt;$E$3</formula>
    </cfRule>
  </conditionalFormatting>
  <conditionalFormatting sqref="K46">
    <cfRule type="expression" dxfId="5725" priority="203">
      <formula>$C46&lt;$E$3</formula>
    </cfRule>
  </conditionalFormatting>
  <conditionalFormatting sqref="K46">
    <cfRule type="expression" dxfId="5724" priority="199">
      <formula>$C46=$E$3</formula>
    </cfRule>
    <cfRule type="expression" dxfId="5723" priority="200">
      <formula>$C46&lt;$E$3</formula>
    </cfRule>
    <cfRule type="cellIs" dxfId="5722" priority="201" operator="equal">
      <formula>0</formula>
    </cfRule>
    <cfRule type="expression" dxfId="5721" priority="202">
      <formula>$C46&gt;$E$3</formula>
    </cfRule>
  </conditionalFormatting>
  <conditionalFormatting sqref="K46">
    <cfRule type="expression" dxfId="5720" priority="198">
      <formula>$C46&lt;$E$3</formula>
    </cfRule>
  </conditionalFormatting>
  <conditionalFormatting sqref="K46">
    <cfRule type="expression" dxfId="5719" priority="194">
      <formula>$C46=$E$3</formula>
    </cfRule>
    <cfRule type="expression" dxfId="5718" priority="195">
      <formula>$C46&lt;$E$3</formula>
    </cfRule>
    <cfRule type="cellIs" dxfId="5717" priority="196" operator="equal">
      <formula>0</formula>
    </cfRule>
    <cfRule type="expression" dxfId="5716" priority="197">
      <formula>$C46&gt;$E$3</formula>
    </cfRule>
  </conditionalFormatting>
  <conditionalFormatting sqref="K46">
    <cfRule type="expression" dxfId="5715" priority="193">
      <formula>$C46&lt;$E$3</formula>
    </cfRule>
  </conditionalFormatting>
  <conditionalFormatting sqref="K46">
    <cfRule type="expression" dxfId="5714" priority="189">
      <formula>$C46=$E$3</formula>
    </cfRule>
    <cfRule type="expression" dxfId="5713" priority="190">
      <formula>$C46&lt;$E$3</formula>
    </cfRule>
    <cfRule type="cellIs" dxfId="5712" priority="191" operator="equal">
      <formula>0</formula>
    </cfRule>
    <cfRule type="expression" dxfId="5711" priority="192">
      <formula>$C46&gt;$E$3</formula>
    </cfRule>
  </conditionalFormatting>
  <conditionalFormatting sqref="K46">
    <cfRule type="expression" dxfId="5710" priority="188">
      <formula>$E46=""</formula>
    </cfRule>
  </conditionalFormatting>
  <conditionalFormatting sqref="K46">
    <cfRule type="expression" dxfId="5709" priority="187">
      <formula>$C46&lt;$E$3</formula>
    </cfRule>
  </conditionalFormatting>
  <conditionalFormatting sqref="K46">
    <cfRule type="expression" dxfId="5708" priority="186">
      <formula>$E46=""</formula>
    </cfRule>
  </conditionalFormatting>
  <conditionalFormatting sqref="K46">
    <cfRule type="expression" dxfId="5707" priority="185">
      <formula>$E46=""</formula>
    </cfRule>
  </conditionalFormatting>
  <conditionalFormatting sqref="K46">
    <cfRule type="expression" dxfId="5706" priority="184">
      <formula>$C46&lt;$E$3</formula>
    </cfRule>
  </conditionalFormatting>
  <conditionalFormatting sqref="K46">
    <cfRule type="expression" dxfId="5705" priority="183">
      <formula>$E46=""</formula>
    </cfRule>
  </conditionalFormatting>
  <conditionalFormatting sqref="K46">
    <cfRule type="expression" dxfId="5704" priority="182">
      <formula>$C46&lt;$E$3</formula>
    </cfRule>
  </conditionalFormatting>
  <conditionalFormatting sqref="K46">
    <cfRule type="expression" dxfId="5703" priority="181">
      <formula>$E46=""</formula>
    </cfRule>
  </conditionalFormatting>
  <conditionalFormatting sqref="K46">
    <cfRule type="expression" dxfId="5702" priority="180">
      <formula>$C46&lt;$E$3</formula>
    </cfRule>
  </conditionalFormatting>
  <conditionalFormatting sqref="K46">
    <cfRule type="expression" dxfId="5701" priority="179">
      <formula>$E46=""</formula>
    </cfRule>
  </conditionalFormatting>
  <conditionalFormatting sqref="K46">
    <cfRule type="expression" dxfId="5700" priority="178">
      <formula>$C46&lt;$E$3</formula>
    </cfRule>
  </conditionalFormatting>
  <conditionalFormatting sqref="K46">
    <cfRule type="expression" dxfId="5699" priority="174">
      <formula>$C46=$E$3</formula>
    </cfRule>
    <cfRule type="expression" dxfId="5698" priority="175">
      <formula>$C46&lt;$E$3</formula>
    </cfRule>
    <cfRule type="cellIs" dxfId="5697" priority="176" operator="equal">
      <formula>0</formula>
    </cfRule>
    <cfRule type="expression" dxfId="5696" priority="177">
      <formula>$C46&gt;$E$3</formula>
    </cfRule>
  </conditionalFormatting>
  <conditionalFormatting sqref="K46">
    <cfRule type="expression" dxfId="5695" priority="173">
      <formula>$C46&lt;$E$3</formula>
    </cfRule>
  </conditionalFormatting>
  <conditionalFormatting sqref="K46">
    <cfRule type="expression" dxfId="5694" priority="169">
      <formula>$C46=$E$3</formula>
    </cfRule>
    <cfRule type="expression" dxfId="5693" priority="170">
      <formula>$C46&lt;$E$3</formula>
    </cfRule>
    <cfRule type="cellIs" dxfId="5692" priority="171" operator="equal">
      <formula>0</formula>
    </cfRule>
    <cfRule type="expression" dxfId="5691" priority="172">
      <formula>$C46&gt;$E$3</formula>
    </cfRule>
  </conditionalFormatting>
  <conditionalFormatting sqref="K46">
    <cfRule type="expression" dxfId="5690" priority="168">
      <formula>$C46&lt;$E$3</formula>
    </cfRule>
  </conditionalFormatting>
  <conditionalFormatting sqref="K46">
    <cfRule type="expression" dxfId="5689" priority="164">
      <formula>$C46=$E$3</formula>
    </cfRule>
    <cfRule type="expression" dxfId="5688" priority="165">
      <formula>$C46&lt;$E$3</formula>
    </cfRule>
    <cfRule type="cellIs" dxfId="5687" priority="166" operator="equal">
      <formula>0</formula>
    </cfRule>
    <cfRule type="expression" dxfId="5686" priority="167">
      <formula>$C46&gt;$E$3</formula>
    </cfRule>
  </conditionalFormatting>
  <conditionalFormatting sqref="K46">
    <cfRule type="expression" dxfId="5685" priority="163">
      <formula>$C46&lt;$E$3</formula>
    </cfRule>
  </conditionalFormatting>
  <conditionalFormatting sqref="K46">
    <cfRule type="expression" dxfId="5684" priority="159">
      <formula>$C46=$E$3</formula>
    </cfRule>
    <cfRule type="expression" dxfId="5683" priority="160">
      <formula>$C46&lt;$E$3</formula>
    </cfRule>
    <cfRule type="cellIs" dxfId="5682" priority="161" operator="equal">
      <formula>0</formula>
    </cfRule>
    <cfRule type="expression" dxfId="5681" priority="162">
      <formula>$C46&gt;$E$3</formula>
    </cfRule>
  </conditionalFormatting>
  <conditionalFormatting sqref="K46">
    <cfRule type="expression" dxfId="5680" priority="158">
      <formula>$E46=""</formula>
    </cfRule>
  </conditionalFormatting>
  <conditionalFormatting sqref="K46">
    <cfRule type="expression" dxfId="5679" priority="157">
      <formula>$C46&lt;$E$3</formula>
    </cfRule>
  </conditionalFormatting>
  <conditionalFormatting sqref="K46">
    <cfRule type="expression" dxfId="5678" priority="156">
      <formula>$E46=""</formula>
    </cfRule>
  </conditionalFormatting>
  <conditionalFormatting sqref="K46">
    <cfRule type="expression" dxfId="5677" priority="155">
      <formula>$E46=""</formula>
    </cfRule>
  </conditionalFormatting>
  <conditionalFormatting sqref="K46">
    <cfRule type="expression" dxfId="5676" priority="154">
      <formula>$C46&lt;$E$3</formula>
    </cfRule>
  </conditionalFormatting>
  <conditionalFormatting sqref="K46">
    <cfRule type="expression" dxfId="5675" priority="153">
      <formula>$E46=""</formula>
    </cfRule>
  </conditionalFormatting>
  <conditionalFormatting sqref="K46">
    <cfRule type="expression" dxfId="5674" priority="152">
      <formula>$C46&lt;$E$3</formula>
    </cfRule>
  </conditionalFormatting>
  <conditionalFormatting sqref="K46">
    <cfRule type="expression" dxfId="5673" priority="151">
      <formula>$E46=""</formula>
    </cfRule>
  </conditionalFormatting>
  <conditionalFormatting sqref="K46">
    <cfRule type="expression" dxfId="5672" priority="150">
      <formula>$C46&lt;$E$3</formula>
    </cfRule>
  </conditionalFormatting>
  <conditionalFormatting sqref="K46">
    <cfRule type="expression" dxfId="5671" priority="149">
      <formula>$E46=""</formula>
    </cfRule>
  </conditionalFormatting>
  <conditionalFormatting sqref="K41:K45">
    <cfRule type="expression" dxfId="5670" priority="148">
      <formula>$C41&lt;$E$3</formula>
    </cfRule>
  </conditionalFormatting>
  <conditionalFormatting sqref="K41:K45">
    <cfRule type="expression" dxfId="5669" priority="144">
      <formula>$C41=$E$3</formula>
    </cfRule>
    <cfRule type="expression" dxfId="5668" priority="145">
      <formula>$C41&lt;$E$3</formula>
    </cfRule>
    <cfRule type="cellIs" dxfId="5667" priority="146" operator="equal">
      <formula>0</formula>
    </cfRule>
    <cfRule type="expression" dxfId="5666" priority="147">
      <formula>$C41&gt;$E$3</formula>
    </cfRule>
  </conditionalFormatting>
  <conditionalFormatting sqref="K41:K45">
    <cfRule type="expression" dxfId="5665" priority="143">
      <formula>$C41&lt;$E$3</formula>
    </cfRule>
  </conditionalFormatting>
  <conditionalFormatting sqref="K41:K45">
    <cfRule type="expression" dxfId="5664" priority="139">
      <formula>$C41=$E$3</formula>
    </cfRule>
    <cfRule type="expression" dxfId="5663" priority="140">
      <formula>$C41&lt;$E$3</formula>
    </cfRule>
    <cfRule type="cellIs" dxfId="5662" priority="141" operator="equal">
      <formula>0</formula>
    </cfRule>
    <cfRule type="expression" dxfId="5661" priority="142">
      <formula>$C41&gt;$E$3</formula>
    </cfRule>
  </conditionalFormatting>
  <conditionalFormatting sqref="K41:K45">
    <cfRule type="expression" dxfId="5660" priority="138">
      <formula>$C41&lt;$E$3</formula>
    </cfRule>
  </conditionalFormatting>
  <conditionalFormatting sqref="K41:K45">
    <cfRule type="expression" dxfId="5659" priority="134">
      <formula>$C41=$E$3</formula>
    </cfRule>
    <cfRule type="expression" dxfId="5658" priority="135">
      <formula>$C41&lt;$E$3</formula>
    </cfRule>
    <cfRule type="cellIs" dxfId="5657" priority="136" operator="equal">
      <formula>0</formula>
    </cfRule>
    <cfRule type="expression" dxfId="5656" priority="137">
      <formula>$C41&gt;$E$3</formula>
    </cfRule>
  </conditionalFormatting>
  <conditionalFormatting sqref="K41:K45">
    <cfRule type="expression" dxfId="5655" priority="133">
      <formula>$C41&lt;$E$3</formula>
    </cfRule>
  </conditionalFormatting>
  <conditionalFormatting sqref="K41:K45">
    <cfRule type="expression" dxfId="5654" priority="129">
      <formula>$C41=$E$3</formula>
    </cfRule>
    <cfRule type="expression" dxfId="5653" priority="130">
      <formula>$C41&lt;$E$3</formula>
    </cfRule>
    <cfRule type="cellIs" dxfId="5652" priority="131" operator="equal">
      <formula>0</formula>
    </cfRule>
    <cfRule type="expression" dxfId="5651" priority="132">
      <formula>$C41&gt;$E$3</formula>
    </cfRule>
  </conditionalFormatting>
  <conditionalFormatting sqref="K41:K45">
    <cfRule type="expression" dxfId="5650" priority="128">
      <formula>$E41=""</formula>
    </cfRule>
  </conditionalFormatting>
  <conditionalFormatting sqref="K41:K45">
    <cfRule type="expression" dxfId="5649" priority="127">
      <formula>$C41&lt;$E$3</formula>
    </cfRule>
  </conditionalFormatting>
  <conditionalFormatting sqref="K41:K45">
    <cfRule type="expression" dxfId="5648" priority="126">
      <formula>$E41=""</formula>
    </cfRule>
  </conditionalFormatting>
  <conditionalFormatting sqref="K41:K45">
    <cfRule type="expression" dxfId="5647" priority="125">
      <formula>$E41=""</formula>
    </cfRule>
  </conditionalFormatting>
  <conditionalFormatting sqref="K41:K45">
    <cfRule type="expression" dxfId="5646" priority="124">
      <formula>$C41&lt;$E$3</formula>
    </cfRule>
  </conditionalFormatting>
  <conditionalFormatting sqref="K41:K45">
    <cfRule type="expression" dxfId="5645" priority="123">
      <formula>$E41=""</formula>
    </cfRule>
  </conditionalFormatting>
  <conditionalFormatting sqref="K41:K45">
    <cfRule type="expression" dxfId="5644" priority="122">
      <formula>$C41&lt;$E$3</formula>
    </cfRule>
  </conditionalFormatting>
  <conditionalFormatting sqref="K41:K45">
    <cfRule type="expression" dxfId="5643" priority="121">
      <formula>$E41=""</formula>
    </cfRule>
  </conditionalFormatting>
  <conditionalFormatting sqref="K41:K45">
    <cfRule type="expression" dxfId="5642" priority="120">
      <formula>$C41&lt;$E$3</formula>
    </cfRule>
  </conditionalFormatting>
  <conditionalFormatting sqref="K41:K45">
    <cfRule type="expression" dxfId="5641" priority="119">
      <formula>$E41=""</formula>
    </cfRule>
  </conditionalFormatting>
  <conditionalFormatting sqref="K41:K45">
    <cfRule type="expression" dxfId="5640" priority="118">
      <formula>$C41&lt;$E$3</formula>
    </cfRule>
  </conditionalFormatting>
  <conditionalFormatting sqref="K41:K45">
    <cfRule type="expression" dxfId="5639" priority="114">
      <formula>$C41=$E$3</formula>
    </cfRule>
    <cfRule type="expression" dxfId="5638" priority="115">
      <formula>$C41&lt;$E$3</formula>
    </cfRule>
    <cfRule type="cellIs" dxfId="5637" priority="116" operator="equal">
      <formula>0</formula>
    </cfRule>
    <cfRule type="expression" dxfId="5636" priority="117">
      <formula>$C41&gt;$E$3</formula>
    </cfRule>
  </conditionalFormatting>
  <conditionalFormatting sqref="K41:K45">
    <cfRule type="expression" dxfId="5635" priority="113">
      <formula>$C41&lt;$E$3</formula>
    </cfRule>
  </conditionalFormatting>
  <conditionalFormatting sqref="K41:K45">
    <cfRule type="expression" dxfId="5634" priority="109">
      <formula>$C41=$E$3</formula>
    </cfRule>
    <cfRule type="expression" dxfId="5633" priority="110">
      <formula>$C41&lt;$E$3</formula>
    </cfRule>
    <cfRule type="cellIs" dxfId="5632" priority="111" operator="equal">
      <formula>0</formula>
    </cfRule>
    <cfRule type="expression" dxfId="5631" priority="112">
      <formula>$C41&gt;$E$3</formula>
    </cfRule>
  </conditionalFormatting>
  <conditionalFormatting sqref="K41:K45">
    <cfRule type="expression" dxfId="5630" priority="108">
      <formula>$C41&lt;$E$3</formula>
    </cfRule>
  </conditionalFormatting>
  <conditionalFormatting sqref="K41:K45">
    <cfRule type="expression" dxfId="5629" priority="104">
      <formula>$C41=$E$3</formula>
    </cfRule>
    <cfRule type="expression" dxfId="5628" priority="105">
      <formula>$C41&lt;$E$3</formula>
    </cfRule>
    <cfRule type="cellIs" dxfId="5627" priority="106" operator="equal">
      <formula>0</formula>
    </cfRule>
    <cfRule type="expression" dxfId="5626" priority="107">
      <formula>$C41&gt;$E$3</formula>
    </cfRule>
  </conditionalFormatting>
  <conditionalFormatting sqref="K41:K45">
    <cfRule type="expression" dxfId="5625" priority="103">
      <formula>$C41&lt;$E$3</formula>
    </cfRule>
  </conditionalFormatting>
  <conditionalFormatting sqref="K41:K45">
    <cfRule type="expression" dxfId="5624" priority="99">
      <formula>$C41=$E$3</formula>
    </cfRule>
    <cfRule type="expression" dxfId="5623" priority="100">
      <formula>$C41&lt;$E$3</formula>
    </cfRule>
    <cfRule type="cellIs" dxfId="5622" priority="101" operator="equal">
      <formula>0</formula>
    </cfRule>
    <cfRule type="expression" dxfId="5621" priority="102">
      <formula>$C41&gt;$E$3</formula>
    </cfRule>
  </conditionalFormatting>
  <conditionalFormatting sqref="K41:K45">
    <cfRule type="expression" dxfId="5620" priority="98">
      <formula>$E41=""</formula>
    </cfRule>
  </conditionalFormatting>
  <conditionalFormatting sqref="K41:K45">
    <cfRule type="expression" dxfId="5619" priority="97">
      <formula>$C41&lt;$E$3</formula>
    </cfRule>
  </conditionalFormatting>
  <conditionalFormatting sqref="K41:K45">
    <cfRule type="expression" dxfId="5618" priority="96">
      <formula>$E41=""</formula>
    </cfRule>
  </conditionalFormatting>
  <conditionalFormatting sqref="K41:K45">
    <cfRule type="expression" dxfId="5617" priority="95">
      <formula>$E41=""</formula>
    </cfRule>
  </conditionalFormatting>
  <conditionalFormatting sqref="K41:K45">
    <cfRule type="expression" dxfId="5616" priority="94">
      <formula>$C41&lt;$E$3</formula>
    </cfRule>
  </conditionalFormatting>
  <conditionalFormatting sqref="K41:K45">
    <cfRule type="expression" dxfId="5615" priority="93">
      <formula>$E41=""</formula>
    </cfRule>
  </conditionalFormatting>
  <conditionalFormatting sqref="K41:K45">
    <cfRule type="expression" dxfId="5614" priority="92">
      <formula>$C41&lt;$E$3</formula>
    </cfRule>
  </conditionalFormatting>
  <conditionalFormatting sqref="K41:K45">
    <cfRule type="expression" dxfId="5613" priority="91">
      <formula>$E41=""</formula>
    </cfRule>
  </conditionalFormatting>
  <conditionalFormatting sqref="K41:K45">
    <cfRule type="expression" dxfId="5612" priority="90">
      <formula>$C41&lt;$E$3</formula>
    </cfRule>
  </conditionalFormatting>
  <conditionalFormatting sqref="K41:K45">
    <cfRule type="expression" dxfId="5611" priority="89">
      <formula>$E41=""</formula>
    </cfRule>
  </conditionalFormatting>
  <conditionalFormatting sqref="K41:K47">
    <cfRule type="expression" dxfId="5610" priority="87">
      <formula>$C41&lt;$E$3</formula>
    </cfRule>
  </conditionalFormatting>
  <conditionalFormatting sqref="K41:K47">
    <cfRule type="expression" dxfId="5609" priority="84">
      <formula>$C41=$E$3</formula>
    </cfRule>
    <cfRule type="expression" dxfId="5608" priority="85">
      <formula>$C41&lt;$E$3</formula>
    </cfRule>
    <cfRule type="cellIs" dxfId="5607" priority="86" operator="equal">
      <formula>0</formula>
    </cfRule>
    <cfRule type="expression" dxfId="5606" priority="88">
      <formula>$C41&gt;$E$3</formula>
    </cfRule>
  </conditionalFormatting>
  <conditionalFormatting sqref="K41:K47">
    <cfRule type="expression" dxfId="5605" priority="83">
      <formula>$E41=""</formula>
    </cfRule>
  </conditionalFormatting>
  <conditionalFormatting sqref="K41:K47">
    <cfRule type="expression" dxfId="5604" priority="82">
      <formula>$E41=""</formula>
    </cfRule>
  </conditionalFormatting>
  <conditionalFormatting sqref="K41:K47">
    <cfRule type="expression" dxfId="5603" priority="81">
      <formula>$E41=""</formula>
    </cfRule>
  </conditionalFormatting>
  <conditionalFormatting sqref="K50:K51">
    <cfRule type="cellIs" dxfId="5602" priority="80" stopIfTrue="1" operator="lessThan">
      <formula>0</formula>
    </cfRule>
  </conditionalFormatting>
  <conditionalFormatting sqref="K50:K51">
    <cfRule type="expression" dxfId="5601" priority="78">
      <formula>$C50&lt;$E$3</formula>
    </cfRule>
  </conditionalFormatting>
  <conditionalFormatting sqref="K50:K51">
    <cfRule type="expression" dxfId="5600" priority="75">
      <formula>$C50=$E$3</formula>
    </cfRule>
    <cfRule type="expression" dxfId="5599" priority="76">
      <formula>$C50&lt;$E$3</formula>
    </cfRule>
    <cfRule type="cellIs" dxfId="5598" priority="77" operator="equal">
      <formula>0</formula>
    </cfRule>
    <cfRule type="expression" dxfId="5597" priority="79">
      <formula>$C50&gt;$E$3</formula>
    </cfRule>
  </conditionalFormatting>
  <conditionalFormatting sqref="K50:K51">
    <cfRule type="expression" dxfId="5596" priority="74">
      <formula>$E50=""</formula>
    </cfRule>
  </conditionalFormatting>
  <conditionalFormatting sqref="K50:K51">
    <cfRule type="expression" dxfId="5595" priority="73">
      <formula>$E50=""</formula>
    </cfRule>
  </conditionalFormatting>
  <conditionalFormatting sqref="K50:K51">
    <cfRule type="expression" dxfId="5594" priority="72">
      <formula>$E50=""</formula>
    </cfRule>
  </conditionalFormatting>
  <conditionalFormatting sqref="K50:K51">
    <cfRule type="expression" dxfId="5593" priority="71">
      <formula>$C50&lt;$E$3</formula>
    </cfRule>
  </conditionalFormatting>
  <conditionalFormatting sqref="K50:K51">
    <cfRule type="expression" dxfId="5592" priority="67">
      <formula>$C50=$E$3</formula>
    </cfRule>
    <cfRule type="expression" dxfId="5591" priority="68">
      <formula>$C50&lt;$E$3</formula>
    </cfRule>
    <cfRule type="cellIs" dxfId="5590" priority="69" operator="equal">
      <formula>0</formula>
    </cfRule>
    <cfRule type="expression" dxfId="5589" priority="70">
      <formula>$C50&gt;$E$3</formula>
    </cfRule>
  </conditionalFormatting>
  <conditionalFormatting sqref="K50:K51">
    <cfRule type="expression" dxfId="5588" priority="66">
      <formula>$C50&lt;$E$3</formula>
    </cfRule>
  </conditionalFormatting>
  <conditionalFormatting sqref="K50:K51">
    <cfRule type="expression" dxfId="5587" priority="62">
      <formula>$C50=$E$3</formula>
    </cfRule>
    <cfRule type="expression" dxfId="5586" priority="63">
      <formula>$C50&lt;$E$3</formula>
    </cfRule>
    <cfRule type="cellIs" dxfId="5585" priority="64" operator="equal">
      <formula>0</formula>
    </cfRule>
    <cfRule type="expression" dxfId="5584" priority="65">
      <formula>$C50&gt;$E$3</formula>
    </cfRule>
  </conditionalFormatting>
  <conditionalFormatting sqref="K50:K51">
    <cfRule type="expression" dxfId="5583" priority="61">
      <formula>$C50&lt;$E$3</formula>
    </cfRule>
  </conditionalFormatting>
  <conditionalFormatting sqref="K50:K51">
    <cfRule type="expression" dxfId="5582" priority="57">
      <formula>$C50=$E$3</formula>
    </cfRule>
    <cfRule type="expression" dxfId="5581" priority="58">
      <formula>$C50&lt;$E$3</formula>
    </cfRule>
    <cfRule type="cellIs" dxfId="5580" priority="59" operator="equal">
      <formula>0</formula>
    </cfRule>
    <cfRule type="expression" dxfId="5579" priority="60">
      <formula>$C50&gt;$E$3</formula>
    </cfRule>
  </conditionalFormatting>
  <conditionalFormatting sqref="K50:K51">
    <cfRule type="expression" dxfId="5578" priority="56">
      <formula>$C50&lt;$E$3</formula>
    </cfRule>
  </conditionalFormatting>
  <conditionalFormatting sqref="K50:K51">
    <cfRule type="expression" dxfId="5577" priority="52">
      <formula>$C50=$E$3</formula>
    </cfRule>
    <cfRule type="expression" dxfId="5576" priority="53">
      <formula>$C50&lt;$E$3</formula>
    </cfRule>
    <cfRule type="cellIs" dxfId="5575" priority="54" operator="equal">
      <formula>0</formula>
    </cfRule>
    <cfRule type="expression" dxfId="5574" priority="55">
      <formula>$C50&gt;$E$3</formula>
    </cfRule>
  </conditionalFormatting>
  <conditionalFormatting sqref="K50:K51">
    <cfRule type="expression" dxfId="5573" priority="50">
      <formula>$C50&lt;$E$3</formula>
    </cfRule>
  </conditionalFormatting>
  <conditionalFormatting sqref="K50:K51">
    <cfRule type="expression" dxfId="5572" priority="49">
      <formula>$E50=""</formula>
    </cfRule>
  </conditionalFormatting>
  <conditionalFormatting sqref="K50:K51">
    <cfRule type="expression" dxfId="5571" priority="48">
      <formula>$E50=""</formula>
    </cfRule>
  </conditionalFormatting>
  <conditionalFormatting sqref="K50:K51">
    <cfRule type="expression" dxfId="5570" priority="47">
      <formula>$C50&lt;$E$3</formula>
    </cfRule>
  </conditionalFormatting>
  <conditionalFormatting sqref="K50:K51">
    <cfRule type="expression" dxfId="5569" priority="46">
      <formula>$E50=""</formula>
    </cfRule>
  </conditionalFormatting>
  <conditionalFormatting sqref="K50:K51">
    <cfRule type="expression" dxfId="5568" priority="45">
      <formula>$C50&lt;$E$3</formula>
    </cfRule>
  </conditionalFormatting>
  <conditionalFormatting sqref="K50:K51">
    <cfRule type="expression" dxfId="5567" priority="44">
      <formula>$E50=""</formula>
    </cfRule>
  </conditionalFormatting>
  <conditionalFormatting sqref="K50:K51">
    <cfRule type="expression" dxfId="5566" priority="43">
      <formula>$C50&lt;$E$3</formula>
    </cfRule>
  </conditionalFormatting>
  <conditionalFormatting sqref="K50:K51">
    <cfRule type="expression" dxfId="5565" priority="42">
      <formula>$E50=""</formula>
    </cfRule>
  </conditionalFormatting>
  <conditionalFormatting sqref="K50:K51">
    <cfRule type="expression" dxfId="5564" priority="41">
      <formula>$C50&lt;$E$3</formula>
    </cfRule>
  </conditionalFormatting>
  <conditionalFormatting sqref="K50:K51">
    <cfRule type="expression" dxfId="5563" priority="37">
      <formula>$C50=$E$3</formula>
    </cfRule>
    <cfRule type="expression" dxfId="5562" priority="38">
      <formula>$C50&lt;$E$3</formula>
    </cfRule>
    <cfRule type="cellIs" dxfId="5561" priority="39" operator="equal">
      <formula>0</formula>
    </cfRule>
    <cfRule type="expression" dxfId="5560" priority="40">
      <formula>$C50&gt;$E$3</formula>
    </cfRule>
  </conditionalFormatting>
  <conditionalFormatting sqref="K50:K51">
    <cfRule type="expression" dxfId="5559" priority="36">
      <formula>$C50&lt;$E$3</formula>
    </cfRule>
  </conditionalFormatting>
  <conditionalFormatting sqref="K50:K51">
    <cfRule type="expression" dxfId="5558" priority="32">
      <formula>$C50=$E$3</formula>
    </cfRule>
    <cfRule type="expression" dxfId="5557" priority="33">
      <formula>$C50&lt;$E$3</formula>
    </cfRule>
    <cfRule type="cellIs" dxfId="5556" priority="34" operator="equal">
      <formula>0</formula>
    </cfRule>
    <cfRule type="expression" dxfId="5555" priority="35">
      <formula>$C50&gt;$E$3</formula>
    </cfRule>
  </conditionalFormatting>
  <conditionalFormatting sqref="K50:K51">
    <cfRule type="expression" dxfId="5554" priority="31">
      <formula>$C50&lt;$E$3</formula>
    </cfRule>
  </conditionalFormatting>
  <conditionalFormatting sqref="K50:K51">
    <cfRule type="expression" dxfId="5553" priority="27">
      <formula>$C50=$E$3</formula>
    </cfRule>
    <cfRule type="expression" dxfId="5552" priority="28">
      <formula>$C50&lt;$E$3</formula>
    </cfRule>
    <cfRule type="cellIs" dxfId="5551" priority="29" operator="equal">
      <formula>0</formula>
    </cfRule>
    <cfRule type="expression" dxfId="5550" priority="30">
      <formula>$C50&gt;$E$3</formula>
    </cfRule>
  </conditionalFormatting>
  <conditionalFormatting sqref="K50:K51">
    <cfRule type="expression" dxfId="5549" priority="26">
      <formula>$C50&lt;$E$3</formula>
    </cfRule>
  </conditionalFormatting>
  <conditionalFormatting sqref="K50:K51">
    <cfRule type="expression" dxfId="5548" priority="22">
      <formula>$C50=$E$3</formula>
    </cfRule>
    <cfRule type="expression" dxfId="5547" priority="23">
      <formula>$C50&lt;$E$3</formula>
    </cfRule>
    <cfRule type="cellIs" dxfId="5546" priority="24" operator="equal">
      <formula>0</formula>
    </cfRule>
    <cfRule type="expression" dxfId="5545" priority="25">
      <formula>$C50&gt;$E$3</formula>
    </cfRule>
  </conditionalFormatting>
  <conditionalFormatting sqref="K50:K51">
    <cfRule type="expression" dxfId="5544" priority="21">
      <formula>$E50=""</formula>
    </cfRule>
  </conditionalFormatting>
  <conditionalFormatting sqref="K50:K51">
    <cfRule type="expression" dxfId="5543" priority="20">
      <formula>$C50&lt;$E$3</formula>
    </cfRule>
  </conditionalFormatting>
  <conditionalFormatting sqref="K50:K51">
    <cfRule type="expression" dxfId="5542" priority="19">
      <formula>$E50=""</formula>
    </cfRule>
  </conditionalFormatting>
  <conditionalFormatting sqref="K50:K51">
    <cfRule type="expression" dxfId="5541" priority="18">
      <formula>$E50=""</formula>
    </cfRule>
  </conditionalFormatting>
  <conditionalFormatting sqref="K50:K51">
    <cfRule type="expression" dxfId="5540" priority="17">
      <formula>$C50&lt;$E$3</formula>
    </cfRule>
  </conditionalFormatting>
  <conditionalFormatting sqref="K50:K51">
    <cfRule type="expression" dxfId="5539" priority="16">
      <formula>$E50=""</formula>
    </cfRule>
  </conditionalFormatting>
  <conditionalFormatting sqref="K50:K51">
    <cfRule type="expression" dxfId="5538" priority="15">
      <formula>$C50&lt;$E$3</formula>
    </cfRule>
  </conditionalFormatting>
  <conditionalFormatting sqref="K50:K51">
    <cfRule type="expression" dxfId="5537" priority="14">
      <formula>$E50=""</formula>
    </cfRule>
  </conditionalFormatting>
  <conditionalFormatting sqref="K50:K51">
    <cfRule type="expression" dxfId="5536" priority="13">
      <formula>$C50&lt;$E$3</formula>
    </cfRule>
  </conditionalFormatting>
  <conditionalFormatting sqref="K50:K51">
    <cfRule type="expression" dxfId="5535" priority="12">
      <formula>$E50=""</formula>
    </cfRule>
  </conditionalFormatting>
  <conditionalFormatting sqref="K50:K51">
    <cfRule type="expression" dxfId="5534" priority="10">
      <formula>$C50&lt;$E$3</formula>
    </cfRule>
  </conditionalFormatting>
  <conditionalFormatting sqref="K50:K51">
    <cfRule type="expression" dxfId="5533" priority="7">
      <formula>$C50=$E$3</formula>
    </cfRule>
    <cfRule type="expression" dxfId="5532" priority="8">
      <formula>$C50&lt;$E$3</formula>
    </cfRule>
    <cfRule type="cellIs" dxfId="5531" priority="9" operator="equal">
      <formula>0</formula>
    </cfRule>
    <cfRule type="expression" dxfId="5530" priority="11">
      <formula>$C50&gt;$E$3</formula>
    </cfRule>
  </conditionalFormatting>
  <conditionalFormatting sqref="K50:K51">
    <cfRule type="expression" dxfId="5529" priority="6">
      <formula>$E50=""</formula>
    </cfRule>
  </conditionalFormatting>
  <conditionalFormatting sqref="K50:K51">
    <cfRule type="expression" dxfId="5528" priority="5">
      <formula>$E50=""</formula>
    </cfRule>
  </conditionalFormatting>
  <conditionalFormatting sqref="K50:K51">
    <cfRule type="expression" dxfId="5527" priority="4">
      <formula>$E50=""</formula>
    </cfRule>
  </conditionalFormatting>
  <conditionalFormatting sqref="V50:W51 V5:W20 V23:W29 V32:W38 V41:W47">
    <cfRule type="cellIs" dxfId="5526" priority="1" stopIfTrue="1" operator="lessThan">
      <formula>0</formula>
    </cfRule>
  </conditionalFormatting>
  <conditionalFormatting sqref="Q4:Q51 R5:R11 R14:R20 R23:R29 R32:R38 R41:R47 R50:R51 T50:U51 T41:U47 T32:U38 T23:U29 T14:U20 T5:U11">
    <cfRule type="cellIs" dxfId="5525" priority="2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BB66"/>
  <sheetViews>
    <sheetView zoomScale="75" zoomScaleNormal="75" zoomScalePageLayoutView="75" workbookViewId="0">
      <pane ySplit="4" topLeftCell="A5" activePane="bottomLeft" state="frozen"/>
      <selection activeCell="C1" sqref="C1"/>
      <selection pane="bottomLeft" activeCell="F32" sqref="F32"/>
    </sheetView>
  </sheetViews>
  <sheetFormatPr baseColWidth="10" defaultColWidth="8.83203125" defaultRowHeight="15" x14ac:dyDescent="0"/>
  <cols>
    <col min="1" max="1" width="8" style="9" customWidth="1"/>
    <col min="2" max="2" width="8.6640625" style="3" hidden="1" customWidth="1"/>
    <col min="3" max="3" width="4.5" style="9" customWidth="1"/>
    <col min="4" max="4" width="4.5" style="9" hidden="1" customWidth="1"/>
    <col min="5" max="5" width="12.1640625" style="3" customWidth="1"/>
    <col min="6" max="8" width="8.1640625" style="3" customWidth="1"/>
    <col min="9" max="9" width="0.5" style="3" customWidth="1"/>
    <col min="10" max="10" width="8.1640625" style="3" customWidth="1"/>
    <col min="11" max="11" width="8.1640625" style="3" hidden="1" customWidth="1"/>
    <col min="12" max="12" width="8.1640625" style="3" customWidth="1"/>
    <col min="13" max="13" width="8.1640625" style="3" hidden="1" customWidth="1"/>
    <col min="14" max="14" width="13" style="3" customWidth="1"/>
    <col min="15" max="15" width="9.5" style="3" customWidth="1"/>
    <col min="16" max="17" width="9" style="3" customWidth="1"/>
    <col min="18" max="23" width="8" style="3" customWidth="1"/>
    <col min="24" max="26" width="9" style="3" customWidth="1"/>
    <col min="27" max="27" width="9.83203125" style="8" customWidth="1"/>
    <col min="28" max="28" width="8.5" style="3" customWidth="1"/>
    <col min="29" max="29" width="8.83203125" style="3"/>
    <col min="30" max="31" width="10.33203125" style="3" bestFit="1" customWidth="1"/>
    <col min="32" max="32" width="8.83203125" style="3"/>
    <col min="33" max="33" width="10.6640625" style="3" bestFit="1" customWidth="1"/>
    <col min="34" max="16384" width="8.83203125" style="3"/>
  </cols>
  <sheetData>
    <row r="1" spans="1:34" ht="53.25" customHeight="1" thickBot="1">
      <c r="A1" s="52">
        <v>8</v>
      </c>
      <c r="B1" s="50" t="s">
        <v>0</v>
      </c>
      <c r="C1" s="51" t="s">
        <v>0</v>
      </c>
      <c r="D1" s="51"/>
      <c r="E1" s="363" t="str">
        <f>VLOOKUP(A1,'MY STATS'!$B$29:$E$40,4)</f>
        <v>Aug.</v>
      </c>
      <c r="F1" s="141" t="s">
        <v>78</v>
      </c>
      <c r="G1" s="142" t="s">
        <v>77</v>
      </c>
      <c r="H1" s="143" t="s">
        <v>79</v>
      </c>
      <c r="I1" s="144"/>
      <c r="J1" s="144" t="s">
        <v>113</v>
      </c>
      <c r="K1" s="127" t="s">
        <v>109</v>
      </c>
      <c r="L1" s="142" t="s">
        <v>114</v>
      </c>
      <c r="M1" s="127" t="s">
        <v>110</v>
      </c>
      <c r="N1" s="321" t="s">
        <v>59</v>
      </c>
      <c r="O1" s="244" t="s">
        <v>31</v>
      </c>
      <c r="P1" s="250" t="s">
        <v>32</v>
      </c>
      <c r="Q1" s="250" t="s">
        <v>32</v>
      </c>
      <c r="R1" s="343" t="s">
        <v>38</v>
      </c>
      <c r="S1" s="364" t="s">
        <v>149</v>
      </c>
      <c r="T1" s="343"/>
      <c r="U1" s="343"/>
      <c r="V1" s="343" t="s">
        <v>107</v>
      </c>
      <c r="W1" s="343" t="s">
        <v>108</v>
      </c>
      <c r="X1" s="250" t="s">
        <v>30</v>
      </c>
      <c r="Y1" s="250" t="s">
        <v>27</v>
      </c>
      <c r="Z1" s="250" t="s">
        <v>28</v>
      </c>
      <c r="AA1" s="344" t="s">
        <v>29</v>
      </c>
      <c r="AB1" s="230"/>
      <c r="AC1" s="100"/>
      <c r="AD1" s="100"/>
    </row>
    <row r="2" spans="1:34" ht="32" hidden="1" thickTop="1" thickBot="1">
      <c r="A2" s="95" t="s">
        <v>75</v>
      </c>
      <c r="B2" s="25">
        <f>VLOOKUP(A1,'MY STATS'!$B$29:$G$40,3)</f>
        <v>43313</v>
      </c>
      <c r="D2" s="45"/>
      <c r="E2" s="2" t="s">
        <v>19</v>
      </c>
      <c r="F2" s="95" t="s">
        <v>74</v>
      </c>
      <c r="G2" s="93" t="s">
        <v>61</v>
      </c>
      <c r="H2" s="64" t="s">
        <v>60</v>
      </c>
      <c r="I2" s="64"/>
      <c r="J2" s="64"/>
      <c r="K2" s="64"/>
      <c r="L2" s="64"/>
      <c r="M2" s="64"/>
      <c r="N2" s="322"/>
      <c r="O2" s="345"/>
      <c r="P2" s="230"/>
      <c r="Q2" s="230"/>
      <c r="R2" s="346">
        <f>'MY STATS'!A15</f>
        <v>1</v>
      </c>
      <c r="S2" s="346"/>
      <c r="T2" s="346"/>
      <c r="U2" s="346"/>
      <c r="V2" s="346"/>
      <c r="W2" s="346"/>
      <c r="X2" s="230"/>
      <c r="Y2" s="230"/>
      <c r="Z2" s="234"/>
      <c r="AA2" s="234"/>
      <c r="AB2" s="230"/>
      <c r="AC2" s="100"/>
      <c r="AD2" s="100"/>
    </row>
    <row r="3" spans="1:34" ht="17" hidden="1" thickTop="1" thickBot="1">
      <c r="A3" s="96">
        <f>'MY STATS'!D41</f>
        <v>43466</v>
      </c>
      <c r="B3" s="25">
        <f>VLOOKUP(A1+1,'MY STATS'!$B$29:$G$41,3)-1</f>
        <v>43343</v>
      </c>
      <c r="C3" s="25">
        <f>VLOOKUP(A1,'MY STATS'!$B$29:$G$40,2)</f>
        <v>43311</v>
      </c>
      <c r="D3" s="46"/>
      <c r="E3" s="4">
        <f ca="1">TODAY()</f>
        <v>43138</v>
      </c>
      <c r="F3" s="65">
        <f>'MY STATS'!B$11</f>
        <v>587410.55929510726</v>
      </c>
      <c r="G3" s="65">
        <f>VLOOKUP(A1-1,'MY STATS'!B$28:J$40,9)</f>
        <v>0</v>
      </c>
      <c r="H3" s="66">
        <f>VLOOKUP($A$1-1,'MY STATS'!$B$28:$I$41,8)</f>
        <v>0</v>
      </c>
      <c r="I3" s="66"/>
      <c r="J3" s="66"/>
      <c r="K3" s="66"/>
      <c r="L3" s="65"/>
      <c r="M3" s="65"/>
      <c r="N3" s="323"/>
      <c r="O3" s="345"/>
      <c r="P3" s="230"/>
      <c r="Q3" s="230"/>
      <c r="R3" s="346"/>
      <c r="S3" s="346"/>
      <c r="T3" s="346"/>
      <c r="U3" s="346"/>
      <c r="V3" s="346"/>
      <c r="W3" s="346"/>
      <c r="X3" s="230"/>
      <c r="Y3" s="230"/>
      <c r="Z3" s="234"/>
      <c r="AA3" s="234"/>
      <c r="AB3" s="230"/>
      <c r="AC3" s="100"/>
      <c r="AD3" s="100"/>
    </row>
    <row r="4" spans="1:34" ht="14" hidden="1" customHeight="1" thickTop="1" thickBot="1">
      <c r="A4" s="3"/>
      <c r="C4" s="37">
        <f>C3-1</f>
        <v>43310</v>
      </c>
      <c r="D4" s="3"/>
      <c r="O4" s="347"/>
      <c r="P4" s="260">
        <f t="shared" ref="P4:P11" si="0">H$56</f>
        <v>119016.92350637606</v>
      </c>
      <c r="Q4" s="169">
        <f>IF(R$2=3,P4,IF(R$2=2,P4*1.0936,IF(R$2=1,P4*0.000568181818*1.0936133,"")))</f>
        <v>73.953687744320902</v>
      </c>
      <c r="R4" s="246"/>
      <c r="S4" s="246"/>
      <c r="T4" s="246"/>
      <c r="U4" s="246"/>
      <c r="V4" s="246"/>
      <c r="W4" s="246"/>
      <c r="X4" s="260"/>
      <c r="Y4" s="260"/>
      <c r="Z4" s="259">
        <v>0</v>
      </c>
      <c r="AA4" s="234"/>
      <c r="AB4" s="230">
        <v>0</v>
      </c>
      <c r="AC4" s="100"/>
      <c r="AD4" s="100"/>
    </row>
    <row r="5" spans="1:34" ht="16" thickTop="1">
      <c r="A5" s="26" t="s">
        <v>8</v>
      </c>
      <c r="B5" s="23">
        <f>IF(B$2&gt;C5,0,C5)</f>
        <v>0</v>
      </c>
      <c r="C5" s="37">
        <f>C3</f>
        <v>43311</v>
      </c>
      <c r="D5" s="24">
        <f t="shared" ref="D5:D51" ca="1" si="1">TODAY()-C5</f>
        <v>-173</v>
      </c>
      <c r="E5" s="115" t="str">
        <f>IF(B5=0,"","Monday")</f>
        <v/>
      </c>
      <c r="F5" s="55"/>
      <c r="G5" s="56"/>
      <c r="H5" s="56"/>
      <c r="I5" s="199"/>
      <c r="J5" s="56"/>
      <c r="K5" s="201" t="str">
        <f t="shared" ref="K5" si="2">IF(R5=0,"",IF(L5="","",J5))</f>
        <v/>
      </c>
      <c r="L5" s="56"/>
      <c r="M5" s="56" t="str">
        <f>IF(R5=0,"",IF(J5="","",L5))</f>
        <v/>
      </c>
      <c r="N5" s="324"/>
      <c r="O5" s="259" t="str">
        <f t="shared" ref="O5:O51" si="3">IF(B5=0,"",(F$3-G$3)/(A$3-B$2)+0.1)</f>
        <v/>
      </c>
      <c r="P5" s="260">
        <f t="shared" si="0"/>
        <v>119016.92350637606</v>
      </c>
      <c r="Q5" s="169">
        <f t="shared" ref="Q5:Q51" si="4">IF(R$2=3,P5,IF(R$2=2,P5*1.0936,IF(R$2=1,P5*0.000568181818*1.0936133,"")))</f>
        <v>73.953687744320902</v>
      </c>
      <c r="R5" s="169">
        <f>IF(R$2=3,H5+G5/1.0936133+F5/0.0006213712,IF(R$2=2,H5*1.0936133+G5+F5/0.0005681818,IF(R$2=1,H5*0.0005681818*1.0936133+G5*0.0005681818+F5,"")))</f>
        <v>0</v>
      </c>
      <c r="S5" s="368" t="str">
        <f>IF(R5=0,"",R5*IF(L5&gt;0,1,0))</f>
        <v/>
      </c>
      <c r="T5" s="169"/>
      <c r="U5" s="169"/>
      <c r="V5" s="170" t="str">
        <f t="shared" ref="V5:V11" si="5">IF(L5="","",IF(R5=0,"",IF(B5=0,"",IF($R$2=3,R5/L5*60/1000,IF($R$2=2,R5/L5*60/1760,IF($R$2=1,R5/L5*60,""))))))</f>
        <v/>
      </c>
      <c r="W5" s="170" t="str">
        <f t="shared" ref="W5:W11" si="6">IF(R5=0,"",IF(L5="","",V5*L5))</f>
        <v/>
      </c>
      <c r="X5" s="259">
        <f t="shared" ref="X5:Z11" si="7">F5+X4</f>
        <v>0</v>
      </c>
      <c r="Y5" s="259">
        <f t="shared" si="7"/>
        <v>0</v>
      </c>
      <c r="Z5" s="259">
        <f t="shared" si="7"/>
        <v>0</v>
      </c>
      <c r="AA5" s="348">
        <f t="shared" ref="AA5:AA51" si="8">Z5/1000+Y5/1093.6133+X5/0.621371192</f>
        <v>0</v>
      </c>
      <c r="AB5" s="349">
        <f>R5</f>
        <v>0</v>
      </c>
      <c r="AC5" s="120"/>
      <c r="AD5" s="120"/>
      <c r="AE5" s="8"/>
      <c r="AF5" s="8"/>
    </row>
    <row r="6" spans="1:34">
      <c r="A6" s="27"/>
      <c r="B6" s="5">
        <f t="shared" ref="B6:B11" si="9">IF(B$2&gt;C6,0,C6)</f>
        <v>0</v>
      </c>
      <c r="C6" s="38">
        <f>C3+1</f>
        <v>43312</v>
      </c>
      <c r="D6" s="7">
        <f t="shared" ca="1" si="1"/>
        <v>-174</v>
      </c>
      <c r="E6" s="114" t="str">
        <f>IF(B6=0,"","Tuesday")</f>
        <v/>
      </c>
      <c r="F6" s="55"/>
      <c r="G6" s="56"/>
      <c r="H6" s="56"/>
      <c r="I6" s="200"/>
      <c r="J6" s="56"/>
      <c r="K6" s="201" t="str">
        <f>IF(R6=0,"",IF(L6="","",J6))</f>
        <v/>
      </c>
      <c r="L6" s="56"/>
      <c r="M6" s="56" t="str">
        <f t="shared" ref="M6:M11" si="10">IF(R6=0,"",IF(J6="","",L6))</f>
        <v/>
      </c>
      <c r="N6" s="324"/>
      <c r="O6" s="259" t="str">
        <f t="shared" si="3"/>
        <v/>
      </c>
      <c r="P6" s="260">
        <f t="shared" si="0"/>
        <v>119016.92350637606</v>
      </c>
      <c r="Q6" s="365">
        <f t="shared" si="4"/>
        <v>73.953687744320902</v>
      </c>
      <c r="R6" s="169">
        <f t="shared" ref="R6:R11" si="11">IF(R$2=3,H6+G6/1.0936133+F6/0.0006213712,IF(R$2=2,H6*1.0936133+G6+F6/0.0005681818,IF(R$2=1,H6*0.0005681818*1.0936133+G6*0.0005681818+F6,"")))</f>
        <v>0</v>
      </c>
      <c r="S6" s="368" t="str">
        <f t="shared" ref="S6:S51" si="12">IF(R6=0,"",R6*IF(L6&gt;0,1,0))</f>
        <v/>
      </c>
      <c r="T6" s="169"/>
      <c r="U6" s="169"/>
      <c r="V6" s="170" t="str">
        <f t="shared" si="5"/>
        <v/>
      </c>
      <c r="W6" s="170" t="str">
        <f t="shared" si="6"/>
        <v/>
      </c>
      <c r="X6" s="259">
        <f t="shared" si="7"/>
        <v>0</v>
      </c>
      <c r="Y6" s="259">
        <f t="shared" si="7"/>
        <v>0</v>
      </c>
      <c r="Z6" s="259">
        <f t="shared" si="7"/>
        <v>0</v>
      </c>
      <c r="AA6" s="348">
        <f t="shared" si="8"/>
        <v>0</v>
      </c>
      <c r="AB6" s="274">
        <f t="shared" ref="AB6:AB51" si="13">AB5+R6</f>
        <v>0</v>
      </c>
      <c r="AC6" s="100"/>
      <c r="AD6" s="100"/>
      <c r="AH6" s="10"/>
    </row>
    <row r="7" spans="1:34">
      <c r="A7" s="27"/>
      <c r="B7" s="5">
        <f t="shared" si="9"/>
        <v>43313</v>
      </c>
      <c r="C7" s="38">
        <f>C3+2</f>
        <v>43313</v>
      </c>
      <c r="D7" s="7">
        <f t="shared" ca="1" si="1"/>
        <v>-175</v>
      </c>
      <c r="E7" s="114" t="str">
        <f>IF(B7=0,"","Wednesday")</f>
        <v>Wednesday</v>
      </c>
      <c r="F7" s="55"/>
      <c r="G7" s="56"/>
      <c r="H7" s="56"/>
      <c r="I7" s="200"/>
      <c r="J7" s="56"/>
      <c r="K7" s="201" t="str">
        <f t="shared" ref="K7:K11" si="14">IF(R7=0,"",IF(L7="","",J7))</f>
        <v/>
      </c>
      <c r="L7" s="56"/>
      <c r="M7" s="56" t="str">
        <f t="shared" si="10"/>
        <v/>
      </c>
      <c r="N7" s="325"/>
      <c r="O7" s="259">
        <f t="shared" si="3"/>
        <v>3839.3847012752108</v>
      </c>
      <c r="P7" s="260">
        <f t="shared" si="0"/>
        <v>119016.92350637606</v>
      </c>
      <c r="Q7" s="169">
        <f t="shared" si="4"/>
        <v>73.953687744320902</v>
      </c>
      <c r="R7" s="169">
        <f t="shared" si="11"/>
        <v>0</v>
      </c>
      <c r="S7" s="368" t="str">
        <f t="shared" si="12"/>
        <v/>
      </c>
      <c r="T7" s="169"/>
      <c r="U7" s="169"/>
      <c r="V7" s="170" t="str">
        <f t="shared" si="5"/>
        <v/>
      </c>
      <c r="W7" s="170" t="str">
        <f t="shared" si="6"/>
        <v/>
      </c>
      <c r="X7" s="259">
        <f t="shared" si="7"/>
        <v>0</v>
      </c>
      <c r="Y7" s="259">
        <f t="shared" si="7"/>
        <v>0</v>
      </c>
      <c r="Z7" s="259">
        <f t="shared" si="7"/>
        <v>0</v>
      </c>
      <c r="AA7" s="348">
        <f t="shared" si="8"/>
        <v>0</v>
      </c>
      <c r="AB7" s="274">
        <f t="shared" si="13"/>
        <v>0</v>
      </c>
      <c r="AC7" s="100"/>
      <c r="AD7" s="100"/>
    </row>
    <row r="8" spans="1:34">
      <c r="A8" s="27"/>
      <c r="B8" s="5">
        <f t="shared" si="9"/>
        <v>43314</v>
      </c>
      <c r="C8" s="38">
        <f>C3+3</f>
        <v>43314</v>
      </c>
      <c r="D8" s="7">
        <f t="shared" ca="1" si="1"/>
        <v>-176</v>
      </c>
      <c r="E8" s="114" t="str">
        <f>IF(B8=0,"","Thursday")</f>
        <v>Thursday</v>
      </c>
      <c r="F8" s="55"/>
      <c r="G8" s="56"/>
      <c r="H8" s="56"/>
      <c r="I8" s="200"/>
      <c r="J8" s="56"/>
      <c r="K8" s="201" t="str">
        <f t="shared" si="14"/>
        <v/>
      </c>
      <c r="L8" s="56"/>
      <c r="M8" s="56" t="str">
        <f t="shared" si="10"/>
        <v/>
      </c>
      <c r="N8" s="325"/>
      <c r="O8" s="259">
        <f t="shared" si="3"/>
        <v>3839.3847012752108</v>
      </c>
      <c r="P8" s="260">
        <f t="shared" si="0"/>
        <v>119016.92350637606</v>
      </c>
      <c r="Q8" s="169">
        <f t="shared" si="4"/>
        <v>73.953687744320902</v>
      </c>
      <c r="R8" s="169">
        <f t="shared" si="11"/>
        <v>0</v>
      </c>
      <c r="S8" s="368" t="str">
        <f t="shared" si="12"/>
        <v/>
      </c>
      <c r="T8" s="169"/>
      <c r="U8" s="169"/>
      <c r="V8" s="170" t="str">
        <f t="shared" si="5"/>
        <v/>
      </c>
      <c r="W8" s="170" t="str">
        <f t="shared" si="6"/>
        <v/>
      </c>
      <c r="X8" s="259">
        <f t="shared" si="7"/>
        <v>0</v>
      </c>
      <c r="Y8" s="259">
        <f t="shared" si="7"/>
        <v>0</v>
      </c>
      <c r="Z8" s="259">
        <f t="shared" si="7"/>
        <v>0</v>
      </c>
      <c r="AA8" s="348">
        <f t="shared" si="8"/>
        <v>0</v>
      </c>
      <c r="AB8" s="274">
        <f t="shared" si="13"/>
        <v>0</v>
      </c>
      <c r="AC8" s="100"/>
      <c r="AD8" s="100"/>
    </row>
    <row r="9" spans="1:34">
      <c r="A9" s="27"/>
      <c r="B9" s="5">
        <f t="shared" si="9"/>
        <v>43315</v>
      </c>
      <c r="C9" s="38">
        <f>C3+4</f>
        <v>43315</v>
      </c>
      <c r="D9" s="7">
        <f t="shared" ca="1" si="1"/>
        <v>-177</v>
      </c>
      <c r="E9" s="114" t="str">
        <f>IF(B9=0,"","Friday")</f>
        <v>Friday</v>
      </c>
      <c r="F9" s="55"/>
      <c r="G9" s="56"/>
      <c r="H9" s="56"/>
      <c r="I9" s="200"/>
      <c r="J9" s="56"/>
      <c r="K9" s="201" t="str">
        <f t="shared" si="14"/>
        <v/>
      </c>
      <c r="L9" s="56"/>
      <c r="M9" s="56" t="str">
        <f t="shared" si="10"/>
        <v/>
      </c>
      <c r="N9" s="324"/>
      <c r="O9" s="259">
        <f t="shared" si="3"/>
        <v>3839.3847012752108</v>
      </c>
      <c r="P9" s="260">
        <f t="shared" si="0"/>
        <v>119016.92350637606</v>
      </c>
      <c r="Q9" s="169">
        <f t="shared" si="4"/>
        <v>73.953687744320902</v>
      </c>
      <c r="R9" s="169">
        <f t="shared" si="11"/>
        <v>0</v>
      </c>
      <c r="S9" s="368" t="str">
        <f t="shared" si="12"/>
        <v/>
      </c>
      <c r="T9" s="169"/>
      <c r="U9" s="169"/>
      <c r="V9" s="170" t="str">
        <f t="shared" si="5"/>
        <v/>
      </c>
      <c r="W9" s="170" t="str">
        <f t="shared" si="6"/>
        <v/>
      </c>
      <c r="X9" s="259">
        <f t="shared" si="7"/>
        <v>0</v>
      </c>
      <c r="Y9" s="259">
        <f t="shared" si="7"/>
        <v>0</v>
      </c>
      <c r="Z9" s="259">
        <f t="shared" si="7"/>
        <v>0</v>
      </c>
      <c r="AA9" s="348">
        <f t="shared" si="8"/>
        <v>0</v>
      </c>
      <c r="AB9" s="274">
        <f t="shared" si="13"/>
        <v>0</v>
      </c>
      <c r="AC9" s="100"/>
      <c r="AD9" s="100"/>
    </row>
    <row r="10" spans="1:34">
      <c r="A10" s="27"/>
      <c r="B10" s="5">
        <f t="shared" si="9"/>
        <v>43316</v>
      </c>
      <c r="C10" s="38">
        <f>C3+5</f>
        <v>43316</v>
      </c>
      <c r="D10" s="7">
        <f t="shared" ca="1" si="1"/>
        <v>-178</v>
      </c>
      <c r="E10" s="114" t="str">
        <f>IF(B10=0,"","Saturday")</f>
        <v>Saturday</v>
      </c>
      <c r="F10" s="55"/>
      <c r="G10" s="56"/>
      <c r="H10" s="56"/>
      <c r="I10" s="200"/>
      <c r="J10" s="56"/>
      <c r="K10" s="201" t="str">
        <f t="shared" si="14"/>
        <v/>
      </c>
      <c r="L10" s="56"/>
      <c r="M10" s="56" t="str">
        <f t="shared" si="10"/>
        <v/>
      </c>
      <c r="N10" s="324"/>
      <c r="O10" s="259">
        <f t="shared" si="3"/>
        <v>3839.3847012752108</v>
      </c>
      <c r="P10" s="260">
        <f t="shared" si="0"/>
        <v>119016.92350637606</v>
      </c>
      <c r="Q10" s="169">
        <f t="shared" si="4"/>
        <v>73.953687744320902</v>
      </c>
      <c r="R10" s="169">
        <f t="shared" si="11"/>
        <v>0</v>
      </c>
      <c r="S10" s="368" t="str">
        <f t="shared" si="12"/>
        <v/>
      </c>
      <c r="T10" s="169"/>
      <c r="U10" s="169"/>
      <c r="V10" s="170" t="str">
        <f t="shared" si="5"/>
        <v/>
      </c>
      <c r="W10" s="170" t="str">
        <f t="shared" si="6"/>
        <v/>
      </c>
      <c r="X10" s="259">
        <f t="shared" si="7"/>
        <v>0</v>
      </c>
      <c r="Y10" s="259">
        <f t="shared" si="7"/>
        <v>0</v>
      </c>
      <c r="Z10" s="259">
        <f t="shared" si="7"/>
        <v>0</v>
      </c>
      <c r="AA10" s="348">
        <f t="shared" si="8"/>
        <v>0</v>
      </c>
      <c r="AB10" s="274">
        <f t="shared" si="13"/>
        <v>0</v>
      </c>
      <c r="AC10" s="100"/>
      <c r="AD10" s="100"/>
    </row>
    <row r="11" spans="1:34" ht="16" thickBot="1">
      <c r="A11" s="27"/>
      <c r="B11" s="53">
        <f t="shared" si="9"/>
        <v>43317</v>
      </c>
      <c r="C11" s="41">
        <f>C3+6</f>
        <v>43317</v>
      </c>
      <c r="D11" s="54">
        <f t="shared" ca="1" si="1"/>
        <v>-179</v>
      </c>
      <c r="E11" s="117" t="str">
        <f>IF(B11=0,"","Sunday")</f>
        <v>Sunday</v>
      </c>
      <c r="F11" s="55"/>
      <c r="G11" s="56"/>
      <c r="H11" s="56"/>
      <c r="I11" s="200"/>
      <c r="J11" s="56"/>
      <c r="K11" s="201" t="str">
        <f t="shared" si="14"/>
        <v/>
      </c>
      <c r="L11" s="56"/>
      <c r="M11" s="56" t="str">
        <f t="shared" si="10"/>
        <v/>
      </c>
      <c r="N11" s="326"/>
      <c r="O11" s="259">
        <f t="shared" si="3"/>
        <v>3839.3847012752108</v>
      </c>
      <c r="P11" s="260">
        <f t="shared" si="0"/>
        <v>119016.92350637606</v>
      </c>
      <c r="Q11" s="169">
        <f t="shared" si="4"/>
        <v>73.953687744320902</v>
      </c>
      <c r="R11" s="169">
        <f t="shared" si="11"/>
        <v>0</v>
      </c>
      <c r="S11" s="368" t="str">
        <f t="shared" si="12"/>
        <v/>
      </c>
      <c r="T11" s="169"/>
      <c r="U11" s="169"/>
      <c r="V11" s="170" t="str">
        <f t="shared" si="5"/>
        <v/>
      </c>
      <c r="W11" s="170" t="str">
        <f t="shared" si="6"/>
        <v/>
      </c>
      <c r="X11" s="259">
        <f t="shared" si="7"/>
        <v>0</v>
      </c>
      <c r="Y11" s="259">
        <f t="shared" si="7"/>
        <v>0</v>
      </c>
      <c r="Z11" s="259">
        <f t="shared" si="7"/>
        <v>0</v>
      </c>
      <c r="AA11" s="348">
        <f t="shared" si="8"/>
        <v>0</v>
      </c>
      <c r="AB11" s="274">
        <f t="shared" si="13"/>
        <v>0</v>
      </c>
      <c r="AC11" s="100"/>
      <c r="AD11" s="100"/>
    </row>
    <row r="12" spans="1:34" ht="16" thickTop="1">
      <c r="A12" s="29"/>
      <c r="B12" s="16"/>
      <c r="C12" s="42"/>
      <c r="D12" s="60">
        <f ca="1">TODAY()-C12</f>
        <v>43138</v>
      </c>
      <c r="E12" s="113" t="s">
        <v>76</v>
      </c>
      <c r="F12" s="59">
        <f ca="1">G12*0.000568181818</f>
        <v>0</v>
      </c>
      <c r="G12" s="19">
        <f ca="1">H12*1.0936113</f>
        <v>0</v>
      </c>
      <c r="H12" s="129">
        <f ca="1">IF(TODAY()&gt;=B5,AA11*1000,-2E-55)</f>
        <v>0</v>
      </c>
      <c r="I12" s="135"/>
      <c r="J12" s="443" t="s">
        <v>121</v>
      </c>
      <c r="K12" s="444"/>
      <c r="L12" s="444"/>
      <c r="M12" s="444"/>
      <c r="N12" s="444"/>
      <c r="O12" s="259" t="str">
        <f t="shared" si="3"/>
        <v/>
      </c>
      <c r="P12" s="260"/>
      <c r="Q12" s="169">
        <f t="shared" si="4"/>
        <v>0</v>
      </c>
      <c r="R12" s="350"/>
      <c r="S12" s="368" t="str">
        <f t="shared" si="12"/>
        <v/>
      </c>
      <c r="T12" s="350"/>
      <c r="U12" s="350"/>
      <c r="V12" s="350"/>
      <c r="W12" s="350"/>
      <c r="X12" s="260"/>
      <c r="Y12" s="260"/>
      <c r="Z12" s="234"/>
      <c r="AA12" s="348">
        <f t="shared" si="8"/>
        <v>0</v>
      </c>
      <c r="AB12" s="274">
        <f t="shared" si="13"/>
        <v>0</v>
      </c>
      <c r="AC12" s="100"/>
      <c r="AD12" s="100"/>
    </row>
    <row r="13" spans="1:34" ht="16" thickBot="1">
      <c r="A13" s="28"/>
      <c r="B13" s="17"/>
      <c r="C13" s="39"/>
      <c r="D13" s="61">
        <f ca="1">TODAY()-C13</f>
        <v>43138</v>
      </c>
      <c r="E13" s="116" t="s">
        <v>33</v>
      </c>
      <c r="F13" s="62">
        <f>G13*0.0005681818</f>
        <v>11.92839306818259</v>
      </c>
      <c r="G13" s="63">
        <f>H13*1.0936113</f>
        <v>20993.972471808476</v>
      </c>
      <c r="H13" s="130">
        <f>SUM($O5:$O11)</f>
        <v>19196.923506376053</v>
      </c>
      <c r="I13" s="136"/>
      <c r="J13" s="445" t="str">
        <f>IF(R$2=1,"MILES &amp; mph",IF(R$2=2,"YARDS &amp; mph",IF(R$2=3,"METRES &amp; km/h","????")))</f>
        <v>MILES &amp; mph</v>
      </c>
      <c r="K13" s="446"/>
      <c r="L13" s="446"/>
      <c r="M13" s="446"/>
      <c r="N13" s="446"/>
      <c r="O13" s="259" t="str">
        <f t="shared" si="3"/>
        <v/>
      </c>
      <c r="P13" s="260"/>
      <c r="Q13" s="169">
        <f t="shared" si="4"/>
        <v>0</v>
      </c>
      <c r="R13" s="351"/>
      <c r="S13" s="368" t="str">
        <f t="shared" si="12"/>
        <v/>
      </c>
      <c r="T13" s="351"/>
      <c r="U13" s="351"/>
      <c r="V13" s="351"/>
      <c r="W13" s="351"/>
      <c r="X13" s="260"/>
      <c r="Y13" s="260"/>
      <c r="Z13" s="234"/>
      <c r="AA13" s="348">
        <f t="shared" si="8"/>
        <v>0</v>
      </c>
      <c r="AB13" s="274">
        <f t="shared" si="13"/>
        <v>0</v>
      </c>
      <c r="AC13" s="100"/>
      <c r="AD13" s="100"/>
    </row>
    <row r="14" spans="1:34" ht="16" thickTop="1">
      <c r="A14" s="1" t="s">
        <v>9</v>
      </c>
      <c r="B14" s="57">
        <f t="shared" ref="B14:B20" si="15">IF(B$2&gt;C14,0,C14)</f>
        <v>43318</v>
      </c>
      <c r="C14" s="40">
        <f>C11+1</f>
        <v>43318</v>
      </c>
      <c r="D14" s="22">
        <f t="shared" ca="1" si="1"/>
        <v>-180</v>
      </c>
      <c r="E14" s="118" t="s">
        <v>1</v>
      </c>
      <c r="F14" s="55"/>
      <c r="G14" s="56"/>
      <c r="H14" s="56"/>
      <c r="I14" s="136"/>
      <c r="J14" s="128"/>
      <c r="K14" s="201" t="str">
        <f t="shared" ref="K14" si="16">IF(R14=0,"",IF(L14="","",J14))</f>
        <v/>
      </c>
      <c r="L14" s="128"/>
      <c r="M14" s="56" t="str">
        <f>IF(R14=0,"",IF(J14="","",L14))</f>
        <v/>
      </c>
      <c r="N14" s="327"/>
      <c r="O14" s="259">
        <f t="shared" si="3"/>
        <v>3839.3847012752108</v>
      </c>
      <c r="P14" s="260">
        <f t="shared" ref="P14:P20" si="17">H$56</f>
        <v>119016.92350637606</v>
      </c>
      <c r="Q14" s="169">
        <f t="shared" si="4"/>
        <v>73.953687744320902</v>
      </c>
      <c r="R14" s="169">
        <f>IF(R$2=3,H14+G14/1.0936133+F14/0.0006213712,IF(R$2=2,H14*1.0936133+G14+F14/0.0005681818,IF(R$2=1,H14*0.0005681818*1.0936133+G14*0.0005681818+F14,"")))</f>
        <v>0</v>
      </c>
      <c r="S14" s="368" t="str">
        <f t="shared" si="12"/>
        <v/>
      </c>
      <c r="T14" s="169"/>
      <c r="U14" s="169"/>
      <c r="V14" s="170" t="str">
        <f t="shared" ref="V14:V20" si="18">IF(L14="","",IF(R14=0,"",IF(B14=0,"",IF($R$2=3,R14/L14*60/1000,IF($R$2=2,R14/L14*60/1760,IF($R$2=1,R14/L14*60,""))))))</f>
        <v/>
      </c>
      <c r="W14" s="170" t="str">
        <f t="shared" ref="W14:W20" si="19">IF(R14=0,"",IF(L14="","",V14*L14))</f>
        <v/>
      </c>
      <c r="X14" s="259">
        <f>F14+X11</f>
        <v>0</v>
      </c>
      <c r="Y14" s="259">
        <f>G14+Y11</f>
        <v>0</v>
      </c>
      <c r="Z14" s="259">
        <f>H14+Z11</f>
        <v>0</v>
      </c>
      <c r="AA14" s="348">
        <f t="shared" si="8"/>
        <v>0</v>
      </c>
      <c r="AB14" s="274">
        <f t="shared" si="13"/>
        <v>0</v>
      </c>
      <c r="AC14" s="100"/>
      <c r="AD14" s="100"/>
    </row>
    <row r="15" spans="1:34">
      <c r="A15" s="1"/>
      <c r="B15" s="5">
        <f t="shared" si="15"/>
        <v>43319</v>
      </c>
      <c r="C15" s="38">
        <f t="shared" ref="C15:C20" si="20">C14+1</f>
        <v>43319</v>
      </c>
      <c r="D15" s="7">
        <f t="shared" ca="1" si="1"/>
        <v>-181</v>
      </c>
      <c r="E15" s="114" t="s">
        <v>2</v>
      </c>
      <c r="F15" s="55"/>
      <c r="G15" s="56"/>
      <c r="H15" s="56"/>
      <c r="I15" s="200"/>
      <c r="J15" s="56"/>
      <c r="K15" s="201" t="str">
        <f>IF(R15=0,"",IF(L15="","",J15))</f>
        <v/>
      </c>
      <c r="L15" s="56"/>
      <c r="M15" s="56" t="str">
        <f t="shared" ref="M15:M20" si="21">IF(R15=0,"",IF(J15="","",L15))</f>
        <v/>
      </c>
      <c r="N15" s="328"/>
      <c r="O15" s="259">
        <f t="shared" si="3"/>
        <v>3839.3847012752108</v>
      </c>
      <c r="P15" s="260">
        <f t="shared" si="17"/>
        <v>119016.92350637606</v>
      </c>
      <c r="Q15" s="169">
        <f t="shared" si="4"/>
        <v>73.953687744320902</v>
      </c>
      <c r="R15" s="169">
        <f t="shared" ref="R15:R20" si="22">IF(R$2=3,H15+G15/1.0936133+F15/0.0006213712,IF(R$2=2,H15*1.0936133+G15+F15/0.0005681818,IF(R$2=1,H15*0.0005681818*1.0936133+G15*0.0005681818+F15,"")))</f>
        <v>0</v>
      </c>
      <c r="S15" s="368" t="str">
        <f t="shared" si="12"/>
        <v/>
      </c>
      <c r="T15" s="169"/>
      <c r="U15" s="169"/>
      <c r="V15" s="170" t="str">
        <f t="shared" si="18"/>
        <v/>
      </c>
      <c r="W15" s="170" t="str">
        <f t="shared" si="19"/>
        <v/>
      </c>
      <c r="X15" s="259">
        <f t="shared" ref="X15:Z20" si="23">F15+X14</f>
        <v>0</v>
      </c>
      <c r="Y15" s="259">
        <f t="shared" si="23"/>
        <v>0</v>
      </c>
      <c r="Z15" s="259">
        <f t="shared" si="23"/>
        <v>0</v>
      </c>
      <c r="AA15" s="348">
        <f t="shared" si="8"/>
        <v>0</v>
      </c>
      <c r="AB15" s="274">
        <f t="shared" si="13"/>
        <v>0</v>
      </c>
      <c r="AC15" s="100"/>
      <c r="AD15" s="100"/>
    </row>
    <row r="16" spans="1:34">
      <c r="A16" s="1"/>
      <c r="B16" s="5">
        <f t="shared" si="15"/>
        <v>43320</v>
      </c>
      <c r="C16" s="38">
        <f t="shared" si="20"/>
        <v>43320</v>
      </c>
      <c r="D16" s="7">
        <f t="shared" ca="1" si="1"/>
        <v>-182</v>
      </c>
      <c r="E16" s="114" t="s">
        <v>3</v>
      </c>
      <c r="F16" s="55"/>
      <c r="G16" s="56"/>
      <c r="H16" s="56"/>
      <c r="I16" s="200"/>
      <c r="J16" s="56"/>
      <c r="K16" s="201" t="str">
        <f t="shared" ref="K16:K20" si="24">IF(R16=0,"",IF(L16="","",J16))</f>
        <v/>
      </c>
      <c r="L16" s="56"/>
      <c r="M16" s="56" t="str">
        <f t="shared" si="21"/>
        <v/>
      </c>
      <c r="N16" s="328"/>
      <c r="O16" s="259">
        <f t="shared" si="3"/>
        <v>3839.3847012752108</v>
      </c>
      <c r="P16" s="260">
        <f t="shared" si="17"/>
        <v>119016.92350637606</v>
      </c>
      <c r="Q16" s="169">
        <f t="shared" si="4"/>
        <v>73.953687744320902</v>
      </c>
      <c r="R16" s="169">
        <f t="shared" si="22"/>
        <v>0</v>
      </c>
      <c r="S16" s="368" t="str">
        <f t="shared" si="12"/>
        <v/>
      </c>
      <c r="T16" s="169"/>
      <c r="U16" s="169"/>
      <c r="V16" s="170" t="str">
        <f t="shared" si="18"/>
        <v/>
      </c>
      <c r="W16" s="170" t="str">
        <f t="shared" si="19"/>
        <v/>
      </c>
      <c r="X16" s="259">
        <f t="shared" si="23"/>
        <v>0</v>
      </c>
      <c r="Y16" s="259">
        <f t="shared" si="23"/>
        <v>0</v>
      </c>
      <c r="Z16" s="259">
        <f t="shared" si="23"/>
        <v>0</v>
      </c>
      <c r="AA16" s="348">
        <f t="shared" si="8"/>
        <v>0</v>
      </c>
      <c r="AB16" s="274">
        <f t="shared" si="13"/>
        <v>0</v>
      </c>
      <c r="AC16" s="100"/>
      <c r="AD16" s="100"/>
    </row>
    <row r="17" spans="1:30">
      <c r="A17" s="1"/>
      <c r="B17" s="5">
        <f t="shared" si="15"/>
        <v>43321</v>
      </c>
      <c r="C17" s="38">
        <f t="shared" si="20"/>
        <v>43321</v>
      </c>
      <c r="D17" s="7">
        <f t="shared" ca="1" si="1"/>
        <v>-183</v>
      </c>
      <c r="E17" s="114" t="s">
        <v>4</v>
      </c>
      <c r="F17" s="55"/>
      <c r="G17" s="56"/>
      <c r="H17" s="56"/>
      <c r="I17" s="200"/>
      <c r="J17" s="56"/>
      <c r="K17" s="201" t="str">
        <f t="shared" si="24"/>
        <v/>
      </c>
      <c r="L17" s="56"/>
      <c r="M17" s="56" t="str">
        <f t="shared" si="21"/>
        <v/>
      </c>
      <c r="N17" s="328"/>
      <c r="O17" s="259">
        <f t="shared" si="3"/>
        <v>3839.3847012752108</v>
      </c>
      <c r="P17" s="260">
        <f t="shared" si="17"/>
        <v>119016.92350637606</v>
      </c>
      <c r="Q17" s="169">
        <f t="shared" si="4"/>
        <v>73.953687744320902</v>
      </c>
      <c r="R17" s="169">
        <f t="shared" si="22"/>
        <v>0</v>
      </c>
      <c r="S17" s="368" t="str">
        <f t="shared" si="12"/>
        <v/>
      </c>
      <c r="T17" s="169"/>
      <c r="U17" s="169"/>
      <c r="V17" s="170" t="str">
        <f t="shared" si="18"/>
        <v/>
      </c>
      <c r="W17" s="170" t="str">
        <f t="shared" si="19"/>
        <v/>
      </c>
      <c r="X17" s="259">
        <f t="shared" si="23"/>
        <v>0</v>
      </c>
      <c r="Y17" s="259">
        <f t="shared" si="23"/>
        <v>0</v>
      </c>
      <c r="Z17" s="259">
        <f t="shared" si="23"/>
        <v>0</v>
      </c>
      <c r="AA17" s="348">
        <f t="shared" si="8"/>
        <v>0</v>
      </c>
      <c r="AB17" s="274">
        <f t="shared" si="13"/>
        <v>0</v>
      </c>
      <c r="AC17" s="100"/>
      <c r="AD17" s="100"/>
    </row>
    <row r="18" spans="1:30">
      <c r="A18" s="1"/>
      <c r="B18" s="5">
        <f t="shared" si="15"/>
        <v>43322</v>
      </c>
      <c r="C18" s="38">
        <f t="shared" si="20"/>
        <v>43322</v>
      </c>
      <c r="D18" s="7">
        <f t="shared" ca="1" si="1"/>
        <v>-184</v>
      </c>
      <c r="E18" s="114" t="s">
        <v>5</v>
      </c>
      <c r="F18" s="55"/>
      <c r="G18" s="56"/>
      <c r="H18" s="56"/>
      <c r="I18" s="200"/>
      <c r="J18" s="56"/>
      <c r="K18" s="201" t="str">
        <f t="shared" si="24"/>
        <v/>
      </c>
      <c r="L18" s="56"/>
      <c r="M18" s="56" t="str">
        <f t="shared" si="21"/>
        <v/>
      </c>
      <c r="N18" s="324"/>
      <c r="O18" s="259">
        <f t="shared" si="3"/>
        <v>3839.3847012752108</v>
      </c>
      <c r="P18" s="260">
        <f t="shared" si="17"/>
        <v>119016.92350637606</v>
      </c>
      <c r="Q18" s="169">
        <f t="shared" si="4"/>
        <v>73.953687744320902</v>
      </c>
      <c r="R18" s="169">
        <f t="shared" si="22"/>
        <v>0</v>
      </c>
      <c r="S18" s="368" t="str">
        <f t="shared" si="12"/>
        <v/>
      </c>
      <c r="T18" s="169"/>
      <c r="U18" s="169"/>
      <c r="V18" s="170" t="str">
        <f t="shared" si="18"/>
        <v/>
      </c>
      <c r="W18" s="170" t="str">
        <f t="shared" si="19"/>
        <v/>
      </c>
      <c r="X18" s="259">
        <f t="shared" si="23"/>
        <v>0</v>
      </c>
      <c r="Y18" s="259">
        <f t="shared" si="23"/>
        <v>0</v>
      </c>
      <c r="Z18" s="259">
        <f t="shared" si="23"/>
        <v>0</v>
      </c>
      <c r="AA18" s="348">
        <f t="shared" si="8"/>
        <v>0</v>
      </c>
      <c r="AB18" s="274">
        <f t="shared" si="13"/>
        <v>0</v>
      </c>
      <c r="AC18" s="100"/>
      <c r="AD18" s="100"/>
    </row>
    <row r="19" spans="1:30">
      <c r="A19" s="1"/>
      <c r="B19" s="5">
        <f t="shared" si="15"/>
        <v>43323</v>
      </c>
      <c r="C19" s="38">
        <f t="shared" si="20"/>
        <v>43323</v>
      </c>
      <c r="D19" s="7">
        <f t="shared" ca="1" si="1"/>
        <v>-185</v>
      </c>
      <c r="E19" s="114" t="s">
        <v>6</v>
      </c>
      <c r="F19" s="55"/>
      <c r="G19" s="56"/>
      <c r="H19" s="56"/>
      <c r="I19" s="200"/>
      <c r="J19" s="56"/>
      <c r="K19" s="201" t="str">
        <f t="shared" si="24"/>
        <v/>
      </c>
      <c r="L19" s="56"/>
      <c r="M19" s="56" t="str">
        <f t="shared" si="21"/>
        <v/>
      </c>
      <c r="N19" s="324"/>
      <c r="O19" s="259">
        <f t="shared" si="3"/>
        <v>3839.3847012752108</v>
      </c>
      <c r="P19" s="260">
        <f t="shared" si="17"/>
        <v>119016.92350637606</v>
      </c>
      <c r="Q19" s="169">
        <f t="shared" si="4"/>
        <v>73.953687744320902</v>
      </c>
      <c r="R19" s="169">
        <f t="shared" si="22"/>
        <v>0</v>
      </c>
      <c r="S19" s="368" t="str">
        <f t="shared" si="12"/>
        <v/>
      </c>
      <c r="T19" s="169"/>
      <c r="U19" s="169"/>
      <c r="V19" s="170" t="str">
        <f t="shared" si="18"/>
        <v/>
      </c>
      <c r="W19" s="170" t="str">
        <f t="shared" si="19"/>
        <v/>
      </c>
      <c r="X19" s="259">
        <f t="shared" si="23"/>
        <v>0</v>
      </c>
      <c r="Y19" s="259">
        <f t="shared" si="23"/>
        <v>0</v>
      </c>
      <c r="Z19" s="259">
        <f t="shared" si="23"/>
        <v>0</v>
      </c>
      <c r="AA19" s="348">
        <f t="shared" si="8"/>
        <v>0</v>
      </c>
      <c r="AB19" s="274">
        <f t="shared" si="13"/>
        <v>0</v>
      </c>
      <c r="AC19" s="100"/>
      <c r="AD19" s="100"/>
    </row>
    <row r="20" spans="1:30" ht="16" thickBot="1">
      <c r="A20" s="1"/>
      <c r="B20" s="53">
        <f t="shared" si="15"/>
        <v>43324</v>
      </c>
      <c r="C20" s="41">
        <f t="shared" si="20"/>
        <v>43324</v>
      </c>
      <c r="D20" s="54">
        <f t="shared" ca="1" si="1"/>
        <v>-186</v>
      </c>
      <c r="E20" s="117" t="s">
        <v>7</v>
      </c>
      <c r="F20" s="55"/>
      <c r="G20" s="56"/>
      <c r="H20" s="56"/>
      <c r="I20" s="200"/>
      <c r="J20" s="56"/>
      <c r="K20" s="201" t="str">
        <f t="shared" si="24"/>
        <v/>
      </c>
      <c r="L20" s="56"/>
      <c r="M20" s="56" t="str">
        <f t="shared" si="21"/>
        <v/>
      </c>
      <c r="N20" s="329"/>
      <c r="O20" s="259">
        <f t="shared" si="3"/>
        <v>3839.3847012752108</v>
      </c>
      <c r="P20" s="260">
        <f t="shared" si="17"/>
        <v>119016.92350637606</v>
      </c>
      <c r="Q20" s="169">
        <f t="shared" si="4"/>
        <v>73.953687744320902</v>
      </c>
      <c r="R20" s="169">
        <f t="shared" si="22"/>
        <v>0</v>
      </c>
      <c r="S20" s="368" t="str">
        <f t="shared" si="12"/>
        <v/>
      </c>
      <c r="T20" s="169"/>
      <c r="U20" s="169"/>
      <c r="V20" s="170" t="str">
        <f t="shared" si="18"/>
        <v/>
      </c>
      <c r="W20" s="170" t="str">
        <f t="shared" si="19"/>
        <v/>
      </c>
      <c r="X20" s="259">
        <f t="shared" si="23"/>
        <v>0</v>
      </c>
      <c r="Y20" s="259">
        <f t="shared" si="23"/>
        <v>0</v>
      </c>
      <c r="Z20" s="259">
        <f t="shared" si="23"/>
        <v>0</v>
      </c>
      <c r="AA20" s="348">
        <f t="shared" si="8"/>
        <v>0</v>
      </c>
      <c r="AB20" s="274">
        <f t="shared" si="13"/>
        <v>0</v>
      </c>
      <c r="AC20" s="100"/>
      <c r="AD20" s="100"/>
    </row>
    <row r="21" spans="1:30" ht="16" thickTop="1">
      <c r="A21" s="29"/>
      <c r="B21" s="16"/>
      <c r="C21" s="42"/>
      <c r="D21" s="60">
        <f ca="1">TODAY()-C21</f>
        <v>43138</v>
      </c>
      <c r="E21" s="113" t="s">
        <v>76</v>
      </c>
      <c r="F21" s="59">
        <f ca="1">G21*0.000568181818</f>
        <v>-1.2427401132386871E-58</v>
      </c>
      <c r="G21" s="19">
        <f ca="1">H21*1.0936113</f>
        <v>-2.1872226000000002E-55</v>
      </c>
      <c r="H21" s="129">
        <f ca="1">IF(TODAY()&gt;=B14,(AA20-AA11)*1000,-2E-55)</f>
        <v>-2E-55</v>
      </c>
      <c r="I21" s="152"/>
      <c r="J21" s="447" t="str">
        <f>IF(R21=0,"",#REF!)</f>
        <v/>
      </c>
      <c r="K21" s="448"/>
      <c r="L21" s="448"/>
      <c r="M21" s="448"/>
      <c r="N21" s="448"/>
      <c r="O21" s="259" t="str">
        <f t="shared" si="3"/>
        <v/>
      </c>
      <c r="P21" s="260"/>
      <c r="Q21" s="169">
        <f t="shared" si="4"/>
        <v>0</v>
      </c>
      <c r="R21" s="350"/>
      <c r="S21" s="368" t="str">
        <f t="shared" si="12"/>
        <v/>
      </c>
      <c r="T21" s="350"/>
      <c r="U21" s="350"/>
      <c r="V21" s="350"/>
      <c r="W21" s="350"/>
      <c r="X21" s="234"/>
      <c r="Y21" s="234"/>
      <c r="Z21" s="234"/>
      <c r="AA21" s="348">
        <f t="shared" si="8"/>
        <v>0</v>
      </c>
      <c r="AB21" s="274">
        <f t="shared" si="13"/>
        <v>0</v>
      </c>
      <c r="AC21" s="100"/>
      <c r="AD21" s="100"/>
    </row>
    <row r="22" spans="1:30" ht="16" thickBot="1">
      <c r="A22" s="28"/>
      <c r="B22" s="17"/>
      <c r="C22" s="39"/>
      <c r="D22" s="61">
        <f ca="1">TODAY()-C22</f>
        <v>43138</v>
      </c>
      <c r="E22" s="116" t="s">
        <v>33</v>
      </c>
      <c r="F22" s="62">
        <f>G22*0.0005681818</f>
        <v>16.699319742610388</v>
      </c>
      <c r="G22" s="63">
        <f>H22*1.0936113</f>
        <v>29390.803687500003</v>
      </c>
      <c r="H22" s="131">
        <f>INT(SUM($O14:$O20))</f>
        <v>26875</v>
      </c>
      <c r="I22" s="153"/>
      <c r="J22" s="449"/>
      <c r="K22" s="451"/>
      <c r="L22" s="451"/>
      <c r="M22" s="451"/>
      <c r="N22" s="451"/>
      <c r="O22" s="259" t="str">
        <f t="shared" si="3"/>
        <v/>
      </c>
      <c r="P22" s="260"/>
      <c r="Q22" s="169">
        <f t="shared" si="4"/>
        <v>0</v>
      </c>
      <c r="R22" s="351"/>
      <c r="S22" s="368" t="str">
        <f t="shared" si="12"/>
        <v/>
      </c>
      <c r="T22" s="351"/>
      <c r="U22" s="351"/>
      <c r="V22" s="351"/>
      <c r="W22" s="351"/>
      <c r="X22" s="234"/>
      <c r="Y22" s="234"/>
      <c r="Z22" s="234"/>
      <c r="AA22" s="348">
        <f t="shared" si="8"/>
        <v>0</v>
      </c>
      <c r="AB22" s="274">
        <f t="shared" si="13"/>
        <v>0</v>
      </c>
      <c r="AC22" s="100"/>
      <c r="AD22" s="100"/>
    </row>
    <row r="23" spans="1:30" ht="16" thickTop="1">
      <c r="A23" s="1" t="s">
        <v>10</v>
      </c>
      <c r="B23" s="57">
        <f t="shared" ref="B23:B29" si="25">IF(B$2&gt;C23,0,C23)</f>
        <v>43325</v>
      </c>
      <c r="C23" s="40">
        <f>C20+1</f>
        <v>43325</v>
      </c>
      <c r="D23" s="22">
        <f t="shared" ca="1" si="1"/>
        <v>-187</v>
      </c>
      <c r="E23" s="118" t="s">
        <v>1</v>
      </c>
      <c r="F23" s="55"/>
      <c r="G23" s="56"/>
      <c r="H23" s="56"/>
      <c r="I23" s="200"/>
      <c r="J23" s="128"/>
      <c r="K23" s="201" t="str">
        <f t="shared" ref="K23" si="26">IF(R23=0,"",IF(L23="","",J23))</f>
        <v/>
      </c>
      <c r="L23" s="128"/>
      <c r="M23" s="56" t="str">
        <f>IF(R23=0,"",IF(J23="","",L23))</f>
        <v/>
      </c>
      <c r="N23" s="330"/>
      <c r="O23" s="259">
        <f t="shared" si="3"/>
        <v>3839.3847012752108</v>
      </c>
      <c r="P23" s="260">
        <f t="shared" ref="P23:P29" si="27">H$56</f>
        <v>119016.92350637606</v>
      </c>
      <c r="Q23" s="169">
        <f t="shared" si="4"/>
        <v>73.953687744320902</v>
      </c>
      <c r="R23" s="169">
        <f>IF(R$2=3,H23+G23/1.0936133+F23/0.0006213712,IF(R$2=2,H23*1.0936133+G23+F23/0.0005681818,IF(R$2=1,H23*0.0005681818*1.0936133+G23*0.0005681818+F23,"")))</f>
        <v>0</v>
      </c>
      <c r="S23" s="368" t="str">
        <f t="shared" si="12"/>
        <v/>
      </c>
      <c r="T23" s="169"/>
      <c r="U23" s="169"/>
      <c r="V23" s="170" t="str">
        <f t="shared" ref="V23:V29" si="28">IF(L23="","",IF(R23=0,"",IF(B23=0,"",IF($R$2=3,R23/L23*60/1000,IF($R$2=2,R23/L23*60/1760,IF($R$2=1,R23/L23*60,""))))))</f>
        <v/>
      </c>
      <c r="W23" s="170" t="str">
        <f t="shared" ref="W23:W29" si="29">IF(R23=0,"",IF(L23="","",V23*L23))</f>
        <v/>
      </c>
      <c r="X23" s="259">
        <f>F23+X20</f>
        <v>0</v>
      </c>
      <c r="Y23" s="259">
        <f>G23+Y20</f>
        <v>0</v>
      </c>
      <c r="Z23" s="259">
        <f>H23+Z20</f>
        <v>0</v>
      </c>
      <c r="AA23" s="348">
        <f t="shared" si="8"/>
        <v>0</v>
      </c>
      <c r="AB23" s="274">
        <f t="shared" si="13"/>
        <v>0</v>
      </c>
      <c r="AC23" s="100"/>
      <c r="AD23" s="100"/>
    </row>
    <row r="24" spans="1:30">
      <c r="A24" s="1"/>
      <c r="B24" s="5">
        <f t="shared" si="25"/>
        <v>43326</v>
      </c>
      <c r="C24" s="38">
        <f t="shared" ref="C24:C29" si="30">C23+1</f>
        <v>43326</v>
      </c>
      <c r="D24" s="7">
        <f t="shared" ca="1" si="1"/>
        <v>-188</v>
      </c>
      <c r="E24" s="114" t="s">
        <v>2</v>
      </c>
      <c r="F24" s="55"/>
      <c r="G24" s="56"/>
      <c r="H24" s="56"/>
      <c r="I24" s="200"/>
      <c r="J24" s="56"/>
      <c r="K24" s="201" t="str">
        <f>IF(R24=0,"",IF(L24="","",J24))</f>
        <v/>
      </c>
      <c r="L24" s="56"/>
      <c r="M24" s="56" t="str">
        <f t="shared" ref="M24:M29" si="31">IF(R24=0,"",IF(J24="","",L24))</f>
        <v/>
      </c>
      <c r="N24" s="324"/>
      <c r="O24" s="259">
        <f t="shared" si="3"/>
        <v>3839.3847012752108</v>
      </c>
      <c r="P24" s="260">
        <f t="shared" si="27"/>
        <v>119016.92350637606</v>
      </c>
      <c r="Q24" s="169">
        <f t="shared" si="4"/>
        <v>73.953687744320902</v>
      </c>
      <c r="R24" s="169">
        <f t="shared" ref="R24:R29" si="32">IF(R$2=3,H24+G24/1.0936133+F24/0.0006213712,IF(R$2=2,H24*1.0936133+G24+F24/0.0005681818,IF(R$2=1,H24*0.0005681818*1.0936133+G24*0.0005681818+F24,"")))</f>
        <v>0</v>
      </c>
      <c r="S24" s="368" t="str">
        <f t="shared" si="12"/>
        <v/>
      </c>
      <c r="T24" s="169"/>
      <c r="U24" s="169"/>
      <c r="V24" s="170" t="str">
        <f t="shared" si="28"/>
        <v/>
      </c>
      <c r="W24" s="170" t="str">
        <f t="shared" si="29"/>
        <v/>
      </c>
      <c r="X24" s="259">
        <f t="shared" ref="X24:Z29" si="33">F24+X23</f>
        <v>0</v>
      </c>
      <c r="Y24" s="259">
        <f t="shared" si="33"/>
        <v>0</v>
      </c>
      <c r="Z24" s="259">
        <f t="shared" si="33"/>
        <v>0</v>
      </c>
      <c r="AA24" s="348">
        <f t="shared" si="8"/>
        <v>0</v>
      </c>
      <c r="AB24" s="274">
        <f t="shared" si="13"/>
        <v>0</v>
      </c>
      <c r="AC24" s="100"/>
      <c r="AD24" s="100"/>
    </row>
    <row r="25" spans="1:30">
      <c r="A25" s="1"/>
      <c r="B25" s="5">
        <f t="shared" si="25"/>
        <v>43327</v>
      </c>
      <c r="C25" s="38">
        <f t="shared" si="30"/>
        <v>43327</v>
      </c>
      <c r="D25" s="7">
        <f t="shared" ca="1" si="1"/>
        <v>-189</v>
      </c>
      <c r="E25" s="114" t="s">
        <v>3</v>
      </c>
      <c r="F25" s="55"/>
      <c r="G25" s="56"/>
      <c r="H25" s="56"/>
      <c r="I25" s="200"/>
      <c r="J25" s="56"/>
      <c r="K25" s="201" t="str">
        <f t="shared" ref="K25:K29" si="34">IF(R25=0,"",IF(L25="","",J25))</f>
        <v/>
      </c>
      <c r="L25" s="56"/>
      <c r="M25" s="56" t="str">
        <f t="shared" si="31"/>
        <v/>
      </c>
      <c r="N25" s="324"/>
      <c r="O25" s="259">
        <f t="shared" si="3"/>
        <v>3839.3847012752108</v>
      </c>
      <c r="P25" s="260">
        <f t="shared" si="27"/>
        <v>119016.92350637606</v>
      </c>
      <c r="Q25" s="169">
        <f t="shared" si="4"/>
        <v>73.953687744320902</v>
      </c>
      <c r="R25" s="169">
        <f t="shared" si="32"/>
        <v>0</v>
      </c>
      <c r="S25" s="368" t="str">
        <f t="shared" si="12"/>
        <v/>
      </c>
      <c r="T25" s="169"/>
      <c r="U25" s="169"/>
      <c r="V25" s="170" t="str">
        <f t="shared" si="28"/>
        <v/>
      </c>
      <c r="W25" s="170" t="str">
        <f t="shared" si="29"/>
        <v/>
      </c>
      <c r="X25" s="259">
        <f t="shared" si="33"/>
        <v>0</v>
      </c>
      <c r="Y25" s="259">
        <f t="shared" si="33"/>
        <v>0</v>
      </c>
      <c r="Z25" s="259">
        <f t="shared" si="33"/>
        <v>0</v>
      </c>
      <c r="AA25" s="348">
        <f t="shared" si="8"/>
        <v>0</v>
      </c>
      <c r="AB25" s="274">
        <f t="shared" si="13"/>
        <v>0</v>
      </c>
      <c r="AC25" s="100"/>
      <c r="AD25" s="100"/>
    </row>
    <row r="26" spans="1:30">
      <c r="A26" s="1"/>
      <c r="B26" s="5">
        <f t="shared" si="25"/>
        <v>43328</v>
      </c>
      <c r="C26" s="38">
        <f t="shared" si="30"/>
        <v>43328</v>
      </c>
      <c r="D26" s="7">
        <f t="shared" ca="1" si="1"/>
        <v>-190</v>
      </c>
      <c r="E26" s="114" t="s">
        <v>4</v>
      </c>
      <c r="F26" s="55"/>
      <c r="G26" s="56"/>
      <c r="H26" s="56"/>
      <c r="I26" s="200"/>
      <c r="J26" s="56"/>
      <c r="K26" s="201" t="str">
        <f t="shared" si="34"/>
        <v/>
      </c>
      <c r="L26" s="56"/>
      <c r="M26" s="56" t="str">
        <f t="shared" si="31"/>
        <v/>
      </c>
      <c r="N26" s="324"/>
      <c r="O26" s="259">
        <f t="shared" si="3"/>
        <v>3839.3847012752108</v>
      </c>
      <c r="P26" s="260">
        <f t="shared" si="27"/>
        <v>119016.92350637606</v>
      </c>
      <c r="Q26" s="169">
        <f t="shared" si="4"/>
        <v>73.953687744320902</v>
      </c>
      <c r="R26" s="169">
        <f t="shared" si="32"/>
        <v>0</v>
      </c>
      <c r="S26" s="368" t="str">
        <f t="shared" si="12"/>
        <v/>
      </c>
      <c r="T26" s="169"/>
      <c r="U26" s="169"/>
      <c r="V26" s="170" t="str">
        <f t="shared" si="28"/>
        <v/>
      </c>
      <c r="W26" s="170" t="str">
        <f t="shared" si="29"/>
        <v/>
      </c>
      <c r="X26" s="259">
        <f t="shared" si="33"/>
        <v>0</v>
      </c>
      <c r="Y26" s="259">
        <f t="shared" si="33"/>
        <v>0</v>
      </c>
      <c r="Z26" s="259">
        <f t="shared" si="33"/>
        <v>0</v>
      </c>
      <c r="AA26" s="348">
        <f t="shared" si="8"/>
        <v>0</v>
      </c>
      <c r="AB26" s="274">
        <f t="shared" si="13"/>
        <v>0</v>
      </c>
      <c r="AC26" s="100"/>
      <c r="AD26" s="100"/>
    </row>
    <row r="27" spans="1:30">
      <c r="A27" s="1"/>
      <c r="B27" s="5">
        <f t="shared" si="25"/>
        <v>43329</v>
      </c>
      <c r="C27" s="38">
        <f t="shared" si="30"/>
        <v>43329</v>
      </c>
      <c r="D27" s="7">
        <f t="shared" ca="1" si="1"/>
        <v>-191</v>
      </c>
      <c r="E27" s="114" t="s">
        <v>5</v>
      </c>
      <c r="F27" s="55"/>
      <c r="G27" s="56"/>
      <c r="H27" s="56"/>
      <c r="I27" s="200"/>
      <c r="J27" s="56"/>
      <c r="K27" s="201" t="str">
        <f t="shared" si="34"/>
        <v/>
      </c>
      <c r="L27" s="56"/>
      <c r="M27" s="56" t="str">
        <f t="shared" si="31"/>
        <v/>
      </c>
      <c r="N27" s="324"/>
      <c r="O27" s="259">
        <f t="shared" si="3"/>
        <v>3839.3847012752108</v>
      </c>
      <c r="P27" s="260">
        <f t="shared" si="27"/>
        <v>119016.92350637606</v>
      </c>
      <c r="Q27" s="169">
        <f t="shared" si="4"/>
        <v>73.953687744320902</v>
      </c>
      <c r="R27" s="169">
        <f t="shared" si="32"/>
        <v>0</v>
      </c>
      <c r="S27" s="368" t="str">
        <f t="shared" si="12"/>
        <v/>
      </c>
      <c r="T27" s="169"/>
      <c r="U27" s="169"/>
      <c r="V27" s="170" t="str">
        <f t="shared" si="28"/>
        <v/>
      </c>
      <c r="W27" s="170" t="str">
        <f t="shared" si="29"/>
        <v/>
      </c>
      <c r="X27" s="259">
        <f t="shared" si="33"/>
        <v>0</v>
      </c>
      <c r="Y27" s="259">
        <f t="shared" si="33"/>
        <v>0</v>
      </c>
      <c r="Z27" s="259">
        <f t="shared" si="33"/>
        <v>0</v>
      </c>
      <c r="AA27" s="348">
        <f t="shared" si="8"/>
        <v>0</v>
      </c>
      <c r="AB27" s="274">
        <f t="shared" si="13"/>
        <v>0</v>
      </c>
      <c r="AC27" s="100"/>
      <c r="AD27" s="100"/>
    </row>
    <row r="28" spans="1:30">
      <c r="A28" s="1"/>
      <c r="B28" s="5">
        <f t="shared" si="25"/>
        <v>43330</v>
      </c>
      <c r="C28" s="38">
        <f t="shared" si="30"/>
        <v>43330</v>
      </c>
      <c r="D28" s="7">
        <f t="shared" ca="1" si="1"/>
        <v>-192</v>
      </c>
      <c r="E28" s="114" t="s">
        <v>6</v>
      </c>
      <c r="F28" s="55"/>
      <c r="G28" s="56"/>
      <c r="H28" s="56"/>
      <c r="I28" s="200"/>
      <c r="J28" s="56"/>
      <c r="K28" s="201" t="str">
        <f t="shared" si="34"/>
        <v/>
      </c>
      <c r="L28" s="56"/>
      <c r="M28" s="56" t="str">
        <f t="shared" si="31"/>
        <v/>
      </c>
      <c r="N28" s="324"/>
      <c r="O28" s="259">
        <f t="shared" si="3"/>
        <v>3839.3847012752108</v>
      </c>
      <c r="P28" s="260">
        <f t="shared" si="27"/>
        <v>119016.92350637606</v>
      </c>
      <c r="Q28" s="169">
        <f t="shared" si="4"/>
        <v>73.953687744320902</v>
      </c>
      <c r="R28" s="169">
        <f t="shared" si="32"/>
        <v>0</v>
      </c>
      <c r="S28" s="368" t="str">
        <f t="shared" si="12"/>
        <v/>
      </c>
      <c r="T28" s="169"/>
      <c r="U28" s="169"/>
      <c r="V28" s="170" t="str">
        <f t="shared" si="28"/>
        <v/>
      </c>
      <c r="W28" s="170" t="str">
        <f t="shared" si="29"/>
        <v/>
      </c>
      <c r="X28" s="259">
        <f t="shared" si="33"/>
        <v>0</v>
      </c>
      <c r="Y28" s="259">
        <f t="shared" si="33"/>
        <v>0</v>
      </c>
      <c r="Z28" s="259">
        <f t="shared" si="33"/>
        <v>0</v>
      </c>
      <c r="AA28" s="348">
        <f t="shared" si="8"/>
        <v>0</v>
      </c>
      <c r="AB28" s="274">
        <f t="shared" si="13"/>
        <v>0</v>
      </c>
      <c r="AC28" s="100"/>
      <c r="AD28" s="100"/>
    </row>
    <row r="29" spans="1:30" ht="16" thickBot="1">
      <c r="A29" s="1"/>
      <c r="B29" s="53">
        <f t="shared" si="25"/>
        <v>43331</v>
      </c>
      <c r="C29" s="41">
        <f t="shared" si="30"/>
        <v>43331</v>
      </c>
      <c r="D29" s="54">
        <f t="shared" ca="1" si="1"/>
        <v>-193</v>
      </c>
      <c r="E29" s="117" t="s">
        <v>7</v>
      </c>
      <c r="F29" s="55"/>
      <c r="G29" s="56"/>
      <c r="H29" s="56"/>
      <c r="I29" s="200"/>
      <c r="J29" s="56"/>
      <c r="K29" s="201" t="str">
        <f t="shared" si="34"/>
        <v/>
      </c>
      <c r="L29" s="56"/>
      <c r="M29" s="56" t="str">
        <f t="shared" si="31"/>
        <v/>
      </c>
      <c r="N29" s="329"/>
      <c r="O29" s="259">
        <f t="shared" si="3"/>
        <v>3839.3847012752108</v>
      </c>
      <c r="P29" s="260">
        <f t="shared" si="27"/>
        <v>119016.92350637606</v>
      </c>
      <c r="Q29" s="169">
        <f t="shared" si="4"/>
        <v>73.953687744320902</v>
      </c>
      <c r="R29" s="169">
        <f t="shared" si="32"/>
        <v>0</v>
      </c>
      <c r="S29" s="368" t="str">
        <f t="shared" si="12"/>
        <v/>
      </c>
      <c r="T29" s="169"/>
      <c r="U29" s="169"/>
      <c r="V29" s="170" t="str">
        <f t="shared" si="28"/>
        <v/>
      </c>
      <c r="W29" s="170" t="str">
        <f t="shared" si="29"/>
        <v/>
      </c>
      <c r="X29" s="259">
        <f t="shared" si="33"/>
        <v>0</v>
      </c>
      <c r="Y29" s="259">
        <f t="shared" si="33"/>
        <v>0</v>
      </c>
      <c r="Z29" s="259">
        <f t="shared" si="33"/>
        <v>0</v>
      </c>
      <c r="AA29" s="348">
        <f t="shared" si="8"/>
        <v>0</v>
      </c>
      <c r="AB29" s="274">
        <f t="shared" si="13"/>
        <v>0</v>
      </c>
      <c r="AC29" s="100"/>
      <c r="AD29" s="100"/>
    </row>
    <row r="30" spans="1:30" ht="16" thickTop="1">
      <c r="A30" s="29"/>
      <c r="B30" s="16"/>
      <c r="C30" s="42"/>
      <c r="D30" s="60">
        <f ca="1">TODAY()-C30</f>
        <v>43138</v>
      </c>
      <c r="E30" s="113" t="s">
        <v>76</v>
      </c>
      <c r="F30" s="59">
        <f ca="1">G30*0.000568181818</f>
        <v>-1.2427401132386871E-58</v>
      </c>
      <c r="G30" s="19">
        <f ca="1">H30*1.0936113</f>
        <v>-2.1872226000000002E-55</v>
      </c>
      <c r="H30" s="129">
        <f ca="1">IF(TODAY()&gt;=B23,(AA29-AA20)*1000,-2E-55)</f>
        <v>-2E-55</v>
      </c>
      <c r="I30" s="152"/>
      <c r="J30" s="424" t="s">
        <v>121</v>
      </c>
      <c r="K30" s="452"/>
      <c r="L30" s="452"/>
      <c r="M30" s="453"/>
      <c r="N30" s="453"/>
      <c r="O30" s="259" t="str">
        <f t="shared" si="3"/>
        <v/>
      </c>
      <c r="P30" s="260"/>
      <c r="Q30" s="169">
        <f t="shared" si="4"/>
        <v>0</v>
      </c>
      <c r="R30" s="350"/>
      <c r="S30" s="368" t="str">
        <f t="shared" si="12"/>
        <v/>
      </c>
      <c r="T30" s="350"/>
      <c r="U30" s="350"/>
      <c r="V30" s="350"/>
      <c r="W30" s="350"/>
      <c r="X30" s="234"/>
      <c r="Y30" s="234"/>
      <c r="Z30" s="234"/>
      <c r="AA30" s="348">
        <f t="shared" si="8"/>
        <v>0</v>
      </c>
      <c r="AB30" s="274">
        <f t="shared" si="13"/>
        <v>0</v>
      </c>
      <c r="AC30" s="100"/>
      <c r="AD30" s="100"/>
    </row>
    <row r="31" spans="1:30" ht="19" thickBot="1">
      <c r="A31" s="28"/>
      <c r="B31" s="17"/>
      <c r="C31" s="39"/>
      <c r="D31" s="61">
        <f ca="1">TODAY()-C31</f>
        <v>43138</v>
      </c>
      <c r="E31" s="116" t="s">
        <v>33</v>
      </c>
      <c r="F31" s="62">
        <f>G31*0.0005681818</f>
        <v>16.699319742610388</v>
      </c>
      <c r="G31" s="63">
        <f>H31*1.0936113</f>
        <v>29390.803687500003</v>
      </c>
      <c r="H31" s="131">
        <f>INT(SUM($O23:$O29))</f>
        <v>26875</v>
      </c>
      <c r="I31" s="153"/>
      <c r="J31" s="426" t="str">
        <f>IF(R$2=1,"mph",IF(R$2=2,"mph",IF(R$2=3," km/h","????")))</f>
        <v>mph</v>
      </c>
      <c r="K31" s="454"/>
      <c r="L31" s="454"/>
      <c r="M31" s="455"/>
      <c r="N31" s="455"/>
      <c r="O31" s="259" t="str">
        <f t="shared" si="3"/>
        <v/>
      </c>
      <c r="P31" s="260"/>
      <c r="Q31" s="169">
        <f t="shared" si="4"/>
        <v>0</v>
      </c>
      <c r="R31" s="351"/>
      <c r="S31" s="368" t="str">
        <f t="shared" si="12"/>
        <v/>
      </c>
      <c r="T31" s="351"/>
      <c r="U31" s="351"/>
      <c r="V31" s="351"/>
      <c r="W31" s="351"/>
      <c r="X31" s="234"/>
      <c r="Y31" s="234"/>
      <c r="Z31" s="234"/>
      <c r="AA31" s="348">
        <f t="shared" si="8"/>
        <v>0</v>
      </c>
      <c r="AB31" s="274">
        <f t="shared" si="13"/>
        <v>0</v>
      </c>
      <c r="AC31" s="100"/>
      <c r="AD31" s="100"/>
    </row>
    <row r="32" spans="1:30" ht="16" thickTop="1">
      <c r="A32" s="1" t="s">
        <v>11</v>
      </c>
      <c r="B32" s="57">
        <f t="shared" ref="B32:B38" si="35">IF(B$2&gt;C32,0,C32)</f>
        <v>43332</v>
      </c>
      <c r="C32" s="40">
        <f>C29+1</f>
        <v>43332</v>
      </c>
      <c r="D32" s="22">
        <f t="shared" ca="1" si="1"/>
        <v>-194</v>
      </c>
      <c r="E32" s="118" t="s">
        <v>1</v>
      </c>
      <c r="F32" s="55"/>
      <c r="G32" s="56"/>
      <c r="H32" s="56"/>
      <c r="I32" s="200"/>
      <c r="J32" s="128"/>
      <c r="K32" s="201" t="str">
        <f t="shared" ref="K32" si="36">IF(R32=0,"",IF(L32="","",J32))</f>
        <v/>
      </c>
      <c r="L32" s="154"/>
      <c r="M32" s="56" t="str">
        <f>IF(R32=0,"",IF(J32="","",L32))</f>
        <v/>
      </c>
      <c r="N32" s="330"/>
      <c r="O32" s="259">
        <f t="shared" si="3"/>
        <v>3839.3847012752108</v>
      </c>
      <c r="P32" s="260">
        <f t="shared" ref="P32:P38" si="37">H$56</f>
        <v>119016.92350637606</v>
      </c>
      <c r="Q32" s="169">
        <f t="shared" si="4"/>
        <v>73.953687744320902</v>
      </c>
      <c r="R32" s="169">
        <f>IF(R$2=3,H32+G32/1.0936133+F32/0.0006213712,IF(R$2=2,H32*1.0936133+G32+F32/0.0005681818,IF(R$2=1,H32*0.0005681818*1.0936133+G32*0.0005681818+F32,"")))</f>
        <v>0</v>
      </c>
      <c r="S32" s="368" t="str">
        <f t="shared" si="12"/>
        <v/>
      </c>
      <c r="T32" s="169"/>
      <c r="U32" s="169"/>
      <c r="V32" s="170" t="str">
        <f t="shared" ref="V32:V38" si="38">IF(L32="","",IF(R32=0,"",IF(B32=0,"",IF($R$2=3,R32/L32*60/1000,IF($R$2=2,R32/L32*60/1760,IF($R$2=1,R32/L32*60,""))))))</f>
        <v/>
      </c>
      <c r="W32" s="170" t="str">
        <f t="shared" ref="W32:W38" si="39">IF(R32=0,"",IF(L32="","",V32*L32))</f>
        <v/>
      </c>
      <c r="X32" s="259">
        <f>F32+X29</f>
        <v>0</v>
      </c>
      <c r="Y32" s="259">
        <f>G32+Y29</f>
        <v>0</v>
      </c>
      <c r="Z32" s="259">
        <f>H32+Z29</f>
        <v>0</v>
      </c>
      <c r="AA32" s="348">
        <f t="shared" si="8"/>
        <v>0</v>
      </c>
      <c r="AB32" s="274">
        <f t="shared" si="13"/>
        <v>0</v>
      </c>
      <c r="AC32" s="100"/>
      <c r="AD32" s="100"/>
    </row>
    <row r="33" spans="1:30">
      <c r="A33" s="1"/>
      <c r="B33" s="5">
        <f t="shared" si="35"/>
        <v>43333</v>
      </c>
      <c r="C33" s="38">
        <f t="shared" ref="C33:C38" si="40">C32+1</f>
        <v>43333</v>
      </c>
      <c r="D33" s="7">
        <f t="shared" ca="1" si="1"/>
        <v>-195</v>
      </c>
      <c r="E33" s="114" t="s">
        <v>2</v>
      </c>
      <c r="F33" s="55"/>
      <c r="G33" s="56"/>
      <c r="H33" s="56"/>
      <c r="I33" s="200"/>
      <c r="J33" s="56"/>
      <c r="K33" s="201" t="str">
        <f>IF(R33=0,"",IF(L33="","",J33))</f>
        <v/>
      </c>
      <c r="L33" s="56"/>
      <c r="M33" s="56" t="str">
        <f t="shared" ref="M33:M38" si="41">IF(R33=0,"",IF(J33="","",L33))</f>
        <v/>
      </c>
      <c r="N33" s="324"/>
      <c r="O33" s="259">
        <f t="shared" si="3"/>
        <v>3839.3847012752108</v>
      </c>
      <c r="P33" s="260">
        <f t="shared" si="37"/>
        <v>119016.92350637606</v>
      </c>
      <c r="Q33" s="169">
        <f t="shared" si="4"/>
        <v>73.953687744320902</v>
      </c>
      <c r="R33" s="169">
        <f t="shared" ref="R33:R38" si="42">IF(R$2=3,H33+G33/1.0936133+F33/0.0006213712,IF(R$2=2,H33*1.0936133+G33+F33/0.0005681818,IF(R$2=1,H33*0.0005681818*1.0936133+G33*0.0005681818+F33,"")))</f>
        <v>0</v>
      </c>
      <c r="S33" s="368" t="str">
        <f t="shared" si="12"/>
        <v/>
      </c>
      <c r="T33" s="169"/>
      <c r="U33" s="169"/>
      <c r="V33" s="170" t="str">
        <f t="shared" si="38"/>
        <v/>
      </c>
      <c r="W33" s="170" t="str">
        <f t="shared" si="39"/>
        <v/>
      </c>
      <c r="X33" s="259">
        <f t="shared" ref="X33:Z38" si="43">F33+X32</f>
        <v>0</v>
      </c>
      <c r="Y33" s="259">
        <f t="shared" si="43"/>
        <v>0</v>
      </c>
      <c r="Z33" s="259">
        <f t="shared" si="43"/>
        <v>0</v>
      </c>
      <c r="AA33" s="348">
        <f t="shared" si="8"/>
        <v>0</v>
      </c>
      <c r="AB33" s="274">
        <f t="shared" si="13"/>
        <v>0</v>
      </c>
      <c r="AC33" s="100"/>
      <c r="AD33" s="100"/>
    </row>
    <row r="34" spans="1:30">
      <c r="A34" s="1"/>
      <c r="B34" s="5">
        <f t="shared" si="35"/>
        <v>43334</v>
      </c>
      <c r="C34" s="38">
        <f t="shared" si="40"/>
        <v>43334</v>
      </c>
      <c r="D34" s="7">
        <f t="shared" ca="1" si="1"/>
        <v>-196</v>
      </c>
      <c r="E34" s="114" t="s">
        <v>3</v>
      </c>
      <c r="F34" s="55"/>
      <c r="G34" s="56"/>
      <c r="H34" s="56"/>
      <c r="I34" s="200"/>
      <c r="J34" s="56"/>
      <c r="K34" s="201" t="str">
        <f t="shared" ref="K34:K38" si="44">IF(R34=0,"",IF(L34="","",J34))</f>
        <v/>
      </c>
      <c r="L34" s="56"/>
      <c r="M34" s="56" t="str">
        <f t="shared" si="41"/>
        <v/>
      </c>
      <c r="N34" s="324"/>
      <c r="O34" s="259">
        <f t="shared" si="3"/>
        <v>3839.3847012752108</v>
      </c>
      <c r="P34" s="260">
        <f t="shared" si="37"/>
        <v>119016.92350637606</v>
      </c>
      <c r="Q34" s="169">
        <f t="shared" si="4"/>
        <v>73.953687744320902</v>
      </c>
      <c r="R34" s="169">
        <f t="shared" si="42"/>
        <v>0</v>
      </c>
      <c r="S34" s="368" t="str">
        <f t="shared" si="12"/>
        <v/>
      </c>
      <c r="T34" s="169"/>
      <c r="U34" s="169"/>
      <c r="V34" s="170" t="str">
        <f t="shared" si="38"/>
        <v/>
      </c>
      <c r="W34" s="170" t="str">
        <f t="shared" si="39"/>
        <v/>
      </c>
      <c r="X34" s="259">
        <f t="shared" si="43"/>
        <v>0</v>
      </c>
      <c r="Y34" s="259">
        <f t="shared" si="43"/>
        <v>0</v>
      </c>
      <c r="Z34" s="259">
        <f t="shared" si="43"/>
        <v>0</v>
      </c>
      <c r="AA34" s="348">
        <f t="shared" si="8"/>
        <v>0</v>
      </c>
      <c r="AB34" s="274">
        <f t="shared" si="13"/>
        <v>0</v>
      </c>
      <c r="AC34" s="100"/>
      <c r="AD34" s="100"/>
    </row>
    <row r="35" spans="1:30">
      <c r="A35" s="1"/>
      <c r="B35" s="5">
        <f t="shared" si="35"/>
        <v>43335</v>
      </c>
      <c r="C35" s="38">
        <f t="shared" si="40"/>
        <v>43335</v>
      </c>
      <c r="D35" s="7">
        <f t="shared" ca="1" si="1"/>
        <v>-197</v>
      </c>
      <c r="E35" s="114" t="s">
        <v>4</v>
      </c>
      <c r="F35" s="55"/>
      <c r="G35" s="56"/>
      <c r="H35" s="56"/>
      <c r="I35" s="200"/>
      <c r="J35" s="56"/>
      <c r="K35" s="201" t="str">
        <f t="shared" si="44"/>
        <v/>
      </c>
      <c r="L35" s="56"/>
      <c r="M35" s="56" t="str">
        <f t="shared" si="41"/>
        <v/>
      </c>
      <c r="N35" s="324"/>
      <c r="O35" s="259">
        <f t="shared" si="3"/>
        <v>3839.3847012752108</v>
      </c>
      <c r="P35" s="260">
        <f t="shared" si="37"/>
        <v>119016.92350637606</v>
      </c>
      <c r="Q35" s="169">
        <f t="shared" si="4"/>
        <v>73.953687744320902</v>
      </c>
      <c r="R35" s="169">
        <f t="shared" si="42"/>
        <v>0</v>
      </c>
      <c r="S35" s="368" t="str">
        <f t="shared" si="12"/>
        <v/>
      </c>
      <c r="T35" s="169"/>
      <c r="U35" s="169"/>
      <c r="V35" s="170" t="str">
        <f t="shared" si="38"/>
        <v/>
      </c>
      <c r="W35" s="170" t="str">
        <f t="shared" si="39"/>
        <v/>
      </c>
      <c r="X35" s="259">
        <f t="shared" si="43"/>
        <v>0</v>
      </c>
      <c r="Y35" s="259">
        <f t="shared" si="43"/>
        <v>0</v>
      </c>
      <c r="Z35" s="259">
        <f t="shared" si="43"/>
        <v>0</v>
      </c>
      <c r="AA35" s="348">
        <f t="shared" si="8"/>
        <v>0</v>
      </c>
      <c r="AB35" s="274">
        <f t="shared" si="13"/>
        <v>0</v>
      </c>
      <c r="AC35" s="100"/>
      <c r="AD35" s="100"/>
    </row>
    <row r="36" spans="1:30">
      <c r="A36" s="1"/>
      <c r="B36" s="5">
        <f t="shared" si="35"/>
        <v>43336</v>
      </c>
      <c r="C36" s="38">
        <f t="shared" si="40"/>
        <v>43336</v>
      </c>
      <c r="D36" s="7">
        <f t="shared" ca="1" si="1"/>
        <v>-198</v>
      </c>
      <c r="E36" s="114" t="s">
        <v>5</v>
      </c>
      <c r="F36" s="55"/>
      <c r="G36" s="56"/>
      <c r="H36" s="56"/>
      <c r="I36" s="200"/>
      <c r="J36" s="56"/>
      <c r="K36" s="201" t="str">
        <f t="shared" si="44"/>
        <v/>
      </c>
      <c r="L36" s="56"/>
      <c r="M36" s="56" t="str">
        <f t="shared" si="41"/>
        <v/>
      </c>
      <c r="N36" s="324"/>
      <c r="O36" s="259">
        <f t="shared" si="3"/>
        <v>3839.3847012752108</v>
      </c>
      <c r="P36" s="260">
        <f t="shared" si="37"/>
        <v>119016.92350637606</v>
      </c>
      <c r="Q36" s="169">
        <f t="shared" si="4"/>
        <v>73.953687744320902</v>
      </c>
      <c r="R36" s="169">
        <f t="shared" si="42"/>
        <v>0</v>
      </c>
      <c r="S36" s="368" t="str">
        <f t="shared" si="12"/>
        <v/>
      </c>
      <c r="T36" s="169"/>
      <c r="U36" s="169"/>
      <c r="V36" s="170" t="str">
        <f t="shared" si="38"/>
        <v/>
      </c>
      <c r="W36" s="170" t="str">
        <f t="shared" si="39"/>
        <v/>
      </c>
      <c r="X36" s="259">
        <f t="shared" si="43"/>
        <v>0</v>
      </c>
      <c r="Y36" s="259">
        <f t="shared" si="43"/>
        <v>0</v>
      </c>
      <c r="Z36" s="259">
        <f t="shared" si="43"/>
        <v>0</v>
      </c>
      <c r="AA36" s="348">
        <f t="shared" si="8"/>
        <v>0</v>
      </c>
      <c r="AB36" s="274">
        <f t="shared" si="13"/>
        <v>0</v>
      </c>
      <c r="AC36" s="100"/>
      <c r="AD36" s="100"/>
    </row>
    <row r="37" spans="1:30">
      <c r="A37" s="1"/>
      <c r="B37" s="5">
        <f t="shared" si="35"/>
        <v>43337</v>
      </c>
      <c r="C37" s="38">
        <f t="shared" si="40"/>
        <v>43337</v>
      </c>
      <c r="D37" s="7">
        <f t="shared" ca="1" si="1"/>
        <v>-199</v>
      </c>
      <c r="E37" s="114" t="s">
        <v>6</v>
      </c>
      <c r="F37" s="55"/>
      <c r="G37" s="56"/>
      <c r="H37" s="56"/>
      <c r="I37" s="200"/>
      <c r="J37" s="56"/>
      <c r="K37" s="201" t="str">
        <f t="shared" si="44"/>
        <v/>
      </c>
      <c r="L37" s="56"/>
      <c r="M37" s="56" t="str">
        <f t="shared" si="41"/>
        <v/>
      </c>
      <c r="N37" s="324"/>
      <c r="O37" s="259">
        <f t="shared" si="3"/>
        <v>3839.3847012752108</v>
      </c>
      <c r="P37" s="260">
        <f t="shared" si="37"/>
        <v>119016.92350637606</v>
      </c>
      <c r="Q37" s="169">
        <f t="shared" si="4"/>
        <v>73.953687744320902</v>
      </c>
      <c r="R37" s="169">
        <f t="shared" si="42"/>
        <v>0</v>
      </c>
      <c r="S37" s="368" t="str">
        <f t="shared" si="12"/>
        <v/>
      </c>
      <c r="T37" s="169"/>
      <c r="U37" s="169"/>
      <c r="V37" s="170" t="str">
        <f t="shared" si="38"/>
        <v/>
      </c>
      <c r="W37" s="170" t="str">
        <f t="shared" si="39"/>
        <v/>
      </c>
      <c r="X37" s="259">
        <f t="shared" si="43"/>
        <v>0</v>
      </c>
      <c r="Y37" s="259">
        <f t="shared" si="43"/>
        <v>0</v>
      </c>
      <c r="Z37" s="259">
        <f t="shared" si="43"/>
        <v>0</v>
      </c>
      <c r="AA37" s="348">
        <f t="shared" si="8"/>
        <v>0</v>
      </c>
      <c r="AB37" s="274">
        <f t="shared" si="13"/>
        <v>0</v>
      </c>
      <c r="AC37" s="100"/>
      <c r="AD37" s="100"/>
    </row>
    <row r="38" spans="1:30" ht="16" thickBot="1">
      <c r="A38" s="1"/>
      <c r="B38" s="53">
        <f t="shared" si="35"/>
        <v>43338</v>
      </c>
      <c r="C38" s="41">
        <f t="shared" si="40"/>
        <v>43338</v>
      </c>
      <c r="D38" s="54">
        <f t="shared" ca="1" si="1"/>
        <v>-200</v>
      </c>
      <c r="E38" s="117" t="s">
        <v>7</v>
      </c>
      <c r="F38" s="55"/>
      <c r="G38" s="56"/>
      <c r="H38" s="56"/>
      <c r="I38" s="200"/>
      <c r="J38" s="56"/>
      <c r="K38" s="201" t="str">
        <f t="shared" si="44"/>
        <v/>
      </c>
      <c r="L38" s="56"/>
      <c r="M38" s="56" t="str">
        <f t="shared" si="41"/>
        <v/>
      </c>
      <c r="N38" s="329"/>
      <c r="O38" s="259">
        <f t="shared" si="3"/>
        <v>3839.3847012752108</v>
      </c>
      <c r="P38" s="260">
        <f t="shared" si="37"/>
        <v>119016.92350637606</v>
      </c>
      <c r="Q38" s="169">
        <f t="shared" si="4"/>
        <v>73.953687744320902</v>
      </c>
      <c r="R38" s="169">
        <f t="shared" si="42"/>
        <v>0</v>
      </c>
      <c r="S38" s="368" t="str">
        <f t="shared" si="12"/>
        <v/>
      </c>
      <c r="T38" s="169"/>
      <c r="U38" s="169"/>
      <c r="V38" s="170" t="str">
        <f t="shared" si="38"/>
        <v/>
      </c>
      <c r="W38" s="170" t="str">
        <f t="shared" si="39"/>
        <v/>
      </c>
      <c r="X38" s="259">
        <f t="shared" si="43"/>
        <v>0</v>
      </c>
      <c r="Y38" s="259">
        <f t="shared" si="43"/>
        <v>0</v>
      </c>
      <c r="Z38" s="259">
        <f t="shared" si="43"/>
        <v>0</v>
      </c>
      <c r="AA38" s="348">
        <f t="shared" si="8"/>
        <v>0</v>
      </c>
      <c r="AB38" s="274">
        <f t="shared" si="13"/>
        <v>0</v>
      </c>
      <c r="AC38" s="100"/>
      <c r="AD38" s="100"/>
    </row>
    <row r="39" spans="1:30" ht="16" thickTop="1">
      <c r="A39" s="29"/>
      <c r="B39" s="16"/>
      <c r="C39" s="42"/>
      <c r="D39" s="60">
        <f ca="1">TODAY()-C39</f>
        <v>43138</v>
      </c>
      <c r="E39" s="113" t="s">
        <v>76</v>
      </c>
      <c r="F39" s="59">
        <f ca="1">G39*0.000568181818</f>
        <v>-1.2427401132386871E-58</v>
      </c>
      <c r="G39" s="19">
        <f ca="1">H39*1.0936113</f>
        <v>-2.1872226000000002E-55</v>
      </c>
      <c r="H39" s="20">
        <f ca="1">IF(TODAY()&gt;=B32,(AA38-AA29)*1000,-2E-55)</f>
        <v>-2E-55</v>
      </c>
      <c r="I39" s="152"/>
      <c r="J39" s="218" t="s">
        <v>137</v>
      </c>
      <c r="K39" s="155"/>
      <c r="L39" s="219" t="s">
        <v>138</v>
      </c>
      <c r="M39" s="155"/>
      <c r="N39" s="331" t="s">
        <v>139</v>
      </c>
      <c r="O39" s="259" t="str">
        <f t="shared" si="3"/>
        <v/>
      </c>
      <c r="P39" s="260"/>
      <c r="Q39" s="169">
        <f t="shared" si="4"/>
        <v>0</v>
      </c>
      <c r="R39" s="350"/>
      <c r="S39" s="368" t="str">
        <f t="shared" si="12"/>
        <v/>
      </c>
      <c r="T39" s="350"/>
      <c r="U39" s="350"/>
      <c r="V39" s="350"/>
      <c r="W39" s="350"/>
      <c r="X39" s="234"/>
      <c r="Y39" s="234"/>
      <c r="Z39" s="234"/>
      <c r="AA39" s="348">
        <f t="shared" si="8"/>
        <v>0</v>
      </c>
      <c r="AB39" s="274">
        <f t="shared" si="13"/>
        <v>0</v>
      </c>
      <c r="AC39" s="100"/>
      <c r="AD39" s="100"/>
    </row>
    <row r="40" spans="1:30" ht="16" thickBot="1">
      <c r="A40" s="28"/>
      <c r="B40" s="17"/>
      <c r="C40" s="39"/>
      <c r="D40" s="61">
        <f ca="1">TODAY()-C40</f>
        <v>43138</v>
      </c>
      <c r="E40" s="116" t="s">
        <v>33</v>
      </c>
      <c r="F40" s="62">
        <f>G40*0.0005681818</f>
        <v>16.699319742610388</v>
      </c>
      <c r="G40" s="63">
        <f>H40*1.0936113</f>
        <v>29390.803687500003</v>
      </c>
      <c r="H40" s="6">
        <f>INT(SUM($O32:$O38))</f>
        <v>26875</v>
      </c>
      <c r="I40" s="153"/>
      <c r="J40" s="156"/>
      <c r="K40" s="157"/>
      <c r="L40" s="217">
        <f>COUNT(S5:S51)-COUNT(V5:V51)</f>
        <v>0</v>
      </c>
      <c r="M40" s="157"/>
      <c r="N40" s="157"/>
      <c r="O40" s="259" t="str">
        <f t="shared" si="3"/>
        <v/>
      </c>
      <c r="P40" s="260"/>
      <c r="Q40" s="169">
        <f t="shared" si="4"/>
        <v>0</v>
      </c>
      <c r="R40" s="351"/>
      <c r="S40" s="368" t="str">
        <f t="shared" si="12"/>
        <v/>
      </c>
      <c r="T40" s="351"/>
      <c r="U40" s="351"/>
      <c r="V40" s="351"/>
      <c r="W40" s="351"/>
      <c r="X40" s="234"/>
      <c r="Y40" s="234"/>
      <c r="Z40" s="234"/>
      <c r="AA40" s="348">
        <f t="shared" si="8"/>
        <v>0</v>
      </c>
      <c r="AB40" s="274">
        <f t="shared" si="13"/>
        <v>0</v>
      </c>
      <c r="AC40" s="100"/>
      <c r="AD40" s="100"/>
    </row>
    <row r="41" spans="1:30" ht="16" thickTop="1">
      <c r="A41" s="1" t="s">
        <v>12</v>
      </c>
      <c r="B41" s="57">
        <f t="shared" ref="B41:B47" si="45">IF(B$3&lt;C41,0,C41)</f>
        <v>43339</v>
      </c>
      <c r="C41" s="40">
        <f>C38+1</f>
        <v>43339</v>
      </c>
      <c r="D41" s="22">
        <f t="shared" ca="1" si="1"/>
        <v>-201</v>
      </c>
      <c r="E41" s="118" t="str">
        <f>IF(B41=0,"","Monday")</f>
        <v>Monday</v>
      </c>
      <c r="F41" s="55"/>
      <c r="G41" s="56"/>
      <c r="H41" s="56"/>
      <c r="I41" s="200"/>
      <c r="J41" s="128"/>
      <c r="K41" s="201" t="str">
        <f t="shared" ref="K41" si="46">IF(R41=0,"",IF(L41="","",J41))</f>
        <v/>
      </c>
      <c r="L41" s="128"/>
      <c r="M41" s="56" t="str">
        <f>IF(R41=0,"",IF(J41="","",L41))</f>
        <v/>
      </c>
      <c r="N41" s="330"/>
      <c r="O41" s="259">
        <f t="shared" si="3"/>
        <v>3839.3847012752108</v>
      </c>
      <c r="P41" s="260">
        <f t="shared" ref="P41:P47" si="47">H$56</f>
        <v>119016.92350637606</v>
      </c>
      <c r="Q41" s="169">
        <f t="shared" si="4"/>
        <v>73.953687744320902</v>
      </c>
      <c r="R41" s="169">
        <f>IF(R$2=3,H41+G41/1.0936133+F41/0.0006213712,IF(R$2=2,H41*1.0936133+G41+F41/0.0005681818,IF(R$2=1,H41*0.0005681818*1.0936133+G41*0.0005681818+F41,"")))</f>
        <v>0</v>
      </c>
      <c r="S41" s="368" t="str">
        <f t="shared" si="12"/>
        <v/>
      </c>
      <c r="T41" s="169"/>
      <c r="U41" s="169"/>
      <c r="V41" s="170" t="str">
        <f t="shared" ref="V41:V47" si="48">IF(L41="","",IF(R41=0,"",IF(B41=0,"",IF($R$2=3,R41/L41*60/1000,IF($R$2=2,R41/L41*60/1760,IF($R$2=1,R41/L41*60,""))))))</f>
        <v/>
      </c>
      <c r="W41" s="170" t="str">
        <f t="shared" ref="W41:W47" si="49">IF(R41=0,"",IF(L41="","",V41*L41))</f>
        <v/>
      </c>
      <c r="X41" s="259">
        <f>F41+X38</f>
        <v>0</v>
      </c>
      <c r="Y41" s="259">
        <f>G41+Y38</f>
        <v>0</v>
      </c>
      <c r="Z41" s="259">
        <f>H41+Z38</f>
        <v>0</v>
      </c>
      <c r="AA41" s="348">
        <f t="shared" si="8"/>
        <v>0</v>
      </c>
      <c r="AB41" s="274">
        <f t="shared" si="13"/>
        <v>0</v>
      </c>
      <c r="AC41" s="100"/>
      <c r="AD41" s="100"/>
    </row>
    <row r="42" spans="1:30">
      <c r="A42" s="1"/>
      <c r="B42" s="5">
        <f t="shared" si="45"/>
        <v>43340</v>
      </c>
      <c r="C42" s="38">
        <f t="shared" ref="C42:C47" si="50">C41+1</f>
        <v>43340</v>
      </c>
      <c r="D42" s="7">
        <f t="shared" ca="1" si="1"/>
        <v>-202</v>
      </c>
      <c r="E42" s="114" t="str">
        <f>IF(B42=0,"","Tuesday")</f>
        <v>Tuesday</v>
      </c>
      <c r="F42" s="55"/>
      <c r="G42" s="56"/>
      <c r="H42" s="56"/>
      <c r="I42" s="200"/>
      <c r="J42" s="56"/>
      <c r="K42" s="201" t="str">
        <f>IF(R42=0,"",IF(L42="","",J42))</f>
        <v/>
      </c>
      <c r="L42" s="56"/>
      <c r="M42" s="56" t="str">
        <f t="shared" ref="M42:M47" si="51">IF(R42=0,"",IF(J42="","",L42))</f>
        <v/>
      </c>
      <c r="N42" s="324"/>
      <c r="O42" s="259">
        <f t="shared" si="3"/>
        <v>3839.3847012752108</v>
      </c>
      <c r="P42" s="260">
        <f t="shared" si="47"/>
        <v>119016.92350637606</v>
      </c>
      <c r="Q42" s="169">
        <f t="shared" si="4"/>
        <v>73.953687744320902</v>
      </c>
      <c r="R42" s="169">
        <f t="shared" ref="R42:R47" si="52">IF(R$2=3,H42+G42/1.0936133+F42/0.0006213712,IF(R$2=2,H42*1.0936133+G42+F42/0.0005681818,IF(R$2=1,H42*0.0005681818*1.0936133+G42*0.0005681818+F42,"")))</f>
        <v>0</v>
      </c>
      <c r="S42" s="368" t="str">
        <f t="shared" si="12"/>
        <v/>
      </c>
      <c r="T42" s="169"/>
      <c r="U42" s="169"/>
      <c r="V42" s="170" t="str">
        <f t="shared" si="48"/>
        <v/>
      </c>
      <c r="W42" s="170" t="str">
        <f t="shared" si="49"/>
        <v/>
      </c>
      <c r="X42" s="259">
        <f t="shared" ref="X42:Z47" si="53">F42+X41</f>
        <v>0</v>
      </c>
      <c r="Y42" s="259">
        <f t="shared" si="53"/>
        <v>0</v>
      </c>
      <c r="Z42" s="259">
        <f t="shared" si="53"/>
        <v>0</v>
      </c>
      <c r="AA42" s="348">
        <f t="shared" si="8"/>
        <v>0</v>
      </c>
      <c r="AB42" s="274">
        <f t="shared" si="13"/>
        <v>0</v>
      </c>
      <c r="AC42" s="100"/>
      <c r="AD42" s="100"/>
    </row>
    <row r="43" spans="1:30">
      <c r="A43" s="1"/>
      <c r="B43" s="5">
        <f t="shared" si="45"/>
        <v>43341</v>
      </c>
      <c r="C43" s="38">
        <f t="shared" si="50"/>
        <v>43341</v>
      </c>
      <c r="D43" s="7">
        <f t="shared" ca="1" si="1"/>
        <v>-203</v>
      </c>
      <c r="E43" s="114" t="str">
        <f>IF(B43=0,"","Wednesday")</f>
        <v>Wednesday</v>
      </c>
      <c r="F43" s="55"/>
      <c r="G43" s="56"/>
      <c r="H43" s="56"/>
      <c r="I43" s="200"/>
      <c r="J43" s="56"/>
      <c r="K43" s="201" t="str">
        <f t="shared" ref="K43:K47" si="54">IF(R43=0,"",IF(L43="","",J43))</f>
        <v/>
      </c>
      <c r="L43" s="56"/>
      <c r="M43" s="56" t="str">
        <f t="shared" si="51"/>
        <v/>
      </c>
      <c r="N43" s="324"/>
      <c r="O43" s="259">
        <f t="shared" si="3"/>
        <v>3839.3847012752108</v>
      </c>
      <c r="P43" s="260">
        <f t="shared" si="47"/>
        <v>119016.92350637606</v>
      </c>
      <c r="Q43" s="169">
        <f t="shared" si="4"/>
        <v>73.953687744320902</v>
      </c>
      <c r="R43" s="169">
        <f t="shared" si="52"/>
        <v>0</v>
      </c>
      <c r="S43" s="368" t="str">
        <f t="shared" si="12"/>
        <v/>
      </c>
      <c r="T43" s="169"/>
      <c r="U43" s="169"/>
      <c r="V43" s="170" t="str">
        <f t="shared" si="48"/>
        <v/>
      </c>
      <c r="W43" s="170" t="str">
        <f t="shared" si="49"/>
        <v/>
      </c>
      <c r="X43" s="259">
        <f t="shared" si="53"/>
        <v>0</v>
      </c>
      <c r="Y43" s="259">
        <f t="shared" si="53"/>
        <v>0</v>
      </c>
      <c r="Z43" s="259">
        <f t="shared" si="53"/>
        <v>0</v>
      </c>
      <c r="AA43" s="348">
        <f t="shared" si="8"/>
        <v>0</v>
      </c>
      <c r="AB43" s="274">
        <f t="shared" si="13"/>
        <v>0</v>
      </c>
      <c r="AC43" s="100"/>
      <c r="AD43" s="100"/>
    </row>
    <row r="44" spans="1:30">
      <c r="A44" s="1"/>
      <c r="B44" s="5">
        <f t="shared" si="45"/>
        <v>43342</v>
      </c>
      <c r="C44" s="38">
        <f t="shared" si="50"/>
        <v>43342</v>
      </c>
      <c r="D44" s="7">
        <f t="shared" ca="1" si="1"/>
        <v>-204</v>
      </c>
      <c r="E44" s="114" t="str">
        <f>IF(B44=0,"","Thursday")</f>
        <v>Thursday</v>
      </c>
      <c r="F44" s="55"/>
      <c r="G44" s="56"/>
      <c r="H44" s="56"/>
      <c r="I44" s="200"/>
      <c r="J44" s="56"/>
      <c r="K44" s="201" t="str">
        <f t="shared" si="54"/>
        <v/>
      </c>
      <c r="L44" s="56"/>
      <c r="M44" s="56" t="str">
        <f t="shared" si="51"/>
        <v/>
      </c>
      <c r="N44" s="324"/>
      <c r="O44" s="259">
        <f t="shared" si="3"/>
        <v>3839.3847012752108</v>
      </c>
      <c r="P44" s="260">
        <f t="shared" si="47"/>
        <v>119016.92350637606</v>
      </c>
      <c r="Q44" s="169">
        <f t="shared" si="4"/>
        <v>73.953687744320902</v>
      </c>
      <c r="R44" s="169">
        <f t="shared" si="52"/>
        <v>0</v>
      </c>
      <c r="S44" s="368" t="str">
        <f t="shared" si="12"/>
        <v/>
      </c>
      <c r="T44" s="169"/>
      <c r="U44" s="169"/>
      <c r="V44" s="170" t="str">
        <f t="shared" si="48"/>
        <v/>
      </c>
      <c r="W44" s="170" t="str">
        <f t="shared" si="49"/>
        <v/>
      </c>
      <c r="X44" s="259">
        <f t="shared" si="53"/>
        <v>0</v>
      </c>
      <c r="Y44" s="259">
        <f t="shared" si="53"/>
        <v>0</v>
      </c>
      <c r="Z44" s="259">
        <f t="shared" si="53"/>
        <v>0</v>
      </c>
      <c r="AA44" s="348">
        <f t="shared" si="8"/>
        <v>0</v>
      </c>
      <c r="AB44" s="274">
        <f t="shared" si="13"/>
        <v>0</v>
      </c>
      <c r="AC44" s="174"/>
      <c r="AD44" s="174"/>
    </row>
    <row r="45" spans="1:30">
      <c r="A45" s="1"/>
      <c r="B45" s="5">
        <f t="shared" si="45"/>
        <v>43343</v>
      </c>
      <c r="C45" s="38">
        <f t="shared" si="50"/>
        <v>43343</v>
      </c>
      <c r="D45" s="7">
        <f t="shared" ca="1" si="1"/>
        <v>-205</v>
      </c>
      <c r="E45" s="114" t="str">
        <f>IF(B45=0,"","Friday")</f>
        <v>Friday</v>
      </c>
      <c r="F45" s="55"/>
      <c r="G45" s="56"/>
      <c r="H45" s="56"/>
      <c r="I45" s="200"/>
      <c r="J45" s="56"/>
      <c r="K45" s="201" t="str">
        <f t="shared" si="54"/>
        <v/>
      </c>
      <c r="L45" s="56"/>
      <c r="M45" s="56" t="str">
        <f t="shared" si="51"/>
        <v/>
      </c>
      <c r="N45" s="324"/>
      <c r="O45" s="259">
        <f t="shared" si="3"/>
        <v>3839.3847012752108</v>
      </c>
      <c r="P45" s="260">
        <f t="shared" si="47"/>
        <v>119016.92350637606</v>
      </c>
      <c r="Q45" s="169">
        <f t="shared" si="4"/>
        <v>73.953687744320902</v>
      </c>
      <c r="R45" s="169">
        <f t="shared" si="52"/>
        <v>0</v>
      </c>
      <c r="S45" s="368" t="str">
        <f t="shared" si="12"/>
        <v/>
      </c>
      <c r="T45" s="169"/>
      <c r="U45" s="169"/>
      <c r="V45" s="170" t="str">
        <f t="shared" si="48"/>
        <v/>
      </c>
      <c r="W45" s="170" t="str">
        <f t="shared" si="49"/>
        <v/>
      </c>
      <c r="X45" s="259">
        <f t="shared" si="53"/>
        <v>0</v>
      </c>
      <c r="Y45" s="259">
        <f t="shared" si="53"/>
        <v>0</v>
      </c>
      <c r="Z45" s="259">
        <f t="shared" si="53"/>
        <v>0</v>
      </c>
      <c r="AA45" s="348">
        <f t="shared" si="8"/>
        <v>0</v>
      </c>
      <c r="AB45" s="274">
        <f t="shared" si="13"/>
        <v>0</v>
      </c>
      <c r="AC45" s="100"/>
      <c r="AD45" s="100"/>
    </row>
    <row r="46" spans="1:30">
      <c r="A46" s="1"/>
      <c r="B46" s="5">
        <f t="shared" si="45"/>
        <v>0</v>
      </c>
      <c r="C46" s="38">
        <f t="shared" si="50"/>
        <v>43344</v>
      </c>
      <c r="D46" s="7">
        <f t="shared" ca="1" si="1"/>
        <v>-206</v>
      </c>
      <c r="E46" s="114" t="str">
        <f>IF(B46=0,"","Saturday")</f>
        <v/>
      </c>
      <c r="F46" s="55"/>
      <c r="G46" s="56"/>
      <c r="H46" s="56"/>
      <c r="I46" s="200"/>
      <c r="J46" s="56"/>
      <c r="K46" s="201" t="str">
        <f t="shared" si="54"/>
        <v/>
      </c>
      <c r="L46" s="56"/>
      <c r="M46" s="56" t="str">
        <f t="shared" si="51"/>
        <v/>
      </c>
      <c r="N46" s="324"/>
      <c r="O46" s="259" t="str">
        <f t="shared" si="3"/>
        <v/>
      </c>
      <c r="P46" s="260">
        <f t="shared" si="47"/>
        <v>119016.92350637606</v>
      </c>
      <c r="Q46" s="169">
        <f t="shared" si="4"/>
        <v>73.953687744320902</v>
      </c>
      <c r="R46" s="169">
        <f t="shared" si="52"/>
        <v>0</v>
      </c>
      <c r="S46" s="368" t="str">
        <f t="shared" si="12"/>
        <v/>
      </c>
      <c r="T46" s="169"/>
      <c r="U46" s="169"/>
      <c r="V46" s="170" t="str">
        <f t="shared" si="48"/>
        <v/>
      </c>
      <c r="W46" s="170" t="str">
        <f t="shared" si="49"/>
        <v/>
      </c>
      <c r="X46" s="259">
        <f t="shared" si="53"/>
        <v>0</v>
      </c>
      <c r="Y46" s="259">
        <f t="shared" si="53"/>
        <v>0</v>
      </c>
      <c r="Z46" s="259">
        <f t="shared" si="53"/>
        <v>0</v>
      </c>
      <c r="AA46" s="348">
        <f t="shared" si="8"/>
        <v>0</v>
      </c>
      <c r="AB46" s="274">
        <f t="shared" si="13"/>
        <v>0</v>
      </c>
      <c r="AC46" s="100"/>
      <c r="AD46" s="100"/>
    </row>
    <row r="47" spans="1:30" ht="16" thickBot="1">
      <c r="A47" s="1"/>
      <c r="B47" s="53">
        <f t="shared" si="45"/>
        <v>0</v>
      </c>
      <c r="C47" s="41">
        <f t="shared" si="50"/>
        <v>43345</v>
      </c>
      <c r="D47" s="54">
        <f t="shared" ca="1" si="1"/>
        <v>-207</v>
      </c>
      <c r="E47" s="117" t="str">
        <f>IF(B47=0,"","Sunday")</f>
        <v/>
      </c>
      <c r="F47" s="55"/>
      <c r="G47" s="56"/>
      <c r="H47" s="56"/>
      <c r="I47" s="200"/>
      <c r="J47" s="56"/>
      <c r="K47" s="201" t="str">
        <f t="shared" si="54"/>
        <v/>
      </c>
      <c r="L47" s="56"/>
      <c r="M47" s="56" t="str">
        <f t="shared" si="51"/>
        <v/>
      </c>
      <c r="N47" s="329"/>
      <c r="O47" s="259" t="str">
        <f t="shared" si="3"/>
        <v/>
      </c>
      <c r="P47" s="260">
        <f t="shared" si="47"/>
        <v>119016.92350637606</v>
      </c>
      <c r="Q47" s="169">
        <f t="shared" si="4"/>
        <v>73.953687744320902</v>
      </c>
      <c r="R47" s="169">
        <f t="shared" si="52"/>
        <v>0</v>
      </c>
      <c r="S47" s="368" t="str">
        <f t="shared" si="12"/>
        <v/>
      </c>
      <c r="T47" s="169"/>
      <c r="U47" s="169"/>
      <c r="V47" s="170" t="str">
        <f t="shared" si="48"/>
        <v/>
      </c>
      <c r="W47" s="170" t="str">
        <f t="shared" si="49"/>
        <v/>
      </c>
      <c r="X47" s="259">
        <f t="shared" si="53"/>
        <v>0</v>
      </c>
      <c r="Y47" s="259">
        <f t="shared" si="53"/>
        <v>0</v>
      </c>
      <c r="Z47" s="259">
        <f t="shared" si="53"/>
        <v>0</v>
      </c>
      <c r="AA47" s="348">
        <f t="shared" si="8"/>
        <v>0</v>
      </c>
      <c r="AB47" s="274">
        <f t="shared" si="13"/>
        <v>0</v>
      </c>
      <c r="AC47" s="100"/>
      <c r="AD47" s="100"/>
    </row>
    <row r="48" spans="1:30" ht="16" thickTop="1">
      <c r="A48" s="29"/>
      <c r="B48" s="16"/>
      <c r="C48" s="42"/>
      <c r="D48" s="60">
        <f ca="1">TODAY()-C48</f>
        <v>43138</v>
      </c>
      <c r="E48" s="113" t="s">
        <v>76</v>
      </c>
      <c r="F48" s="59">
        <f ca="1">G48*0.000568181818</f>
        <v>-1.2427401132386871E-58</v>
      </c>
      <c r="G48" s="19">
        <f ca="1">H48*1.0936113</f>
        <v>-2.1872226000000002E-55</v>
      </c>
      <c r="H48" s="20">
        <f ca="1">IF(SUM(B41:B47)=0,-1E-55,IF(TODAY()&gt;=B$41,(AA47-AA38)*1000,-2E-55))</f>
        <v>-2E-55</v>
      </c>
      <c r="I48" s="152"/>
      <c r="J48" s="432" t="s">
        <v>121</v>
      </c>
      <c r="K48" s="456"/>
      <c r="L48" s="456"/>
      <c r="M48" s="457"/>
      <c r="N48" s="457"/>
      <c r="O48" s="259" t="str">
        <f t="shared" si="3"/>
        <v/>
      </c>
      <c r="P48" s="230"/>
      <c r="Q48" s="169">
        <f t="shared" si="4"/>
        <v>0</v>
      </c>
      <c r="R48" s="350"/>
      <c r="S48" s="368" t="str">
        <f t="shared" si="12"/>
        <v/>
      </c>
      <c r="T48" s="350"/>
      <c r="U48" s="350"/>
      <c r="V48" s="350"/>
      <c r="W48" s="350"/>
      <c r="X48" s="259"/>
      <c r="Y48" s="259" t="str">
        <f>IF(A48=0,"",G48+Y36)</f>
        <v/>
      </c>
      <c r="Z48" s="259" t="str">
        <f>IF(B48=0,"",H48+Z36)</f>
        <v/>
      </c>
      <c r="AA48" s="348"/>
      <c r="AB48" s="274">
        <f t="shared" si="13"/>
        <v>0</v>
      </c>
      <c r="AC48" s="100"/>
      <c r="AD48" s="100"/>
    </row>
    <row r="49" spans="1:54" ht="19" thickBot="1">
      <c r="A49" s="28"/>
      <c r="B49" s="17"/>
      <c r="C49" s="39"/>
      <c r="D49" s="61">
        <f ca="1">TODAY()-C49</f>
        <v>43138</v>
      </c>
      <c r="E49" s="116" t="s">
        <v>33</v>
      </c>
      <c r="F49" s="62">
        <f>G49*0.0005681818</f>
        <v>11.927819228991591</v>
      </c>
      <c r="G49" s="63">
        <f>H49*1.0936113</f>
        <v>20992.962514800001</v>
      </c>
      <c r="H49" s="6">
        <f>INT(SUM($O41:$O47))</f>
        <v>19196</v>
      </c>
      <c r="I49" s="153"/>
      <c r="J49" s="434" t="str">
        <f>IF(R$2=1,"MILES",IF(R$2=2,"YARDS",IF(R$2=3,"METRES","????")))</f>
        <v>MILES</v>
      </c>
      <c r="K49" s="441"/>
      <c r="L49" s="441"/>
      <c r="M49" s="442"/>
      <c r="N49" s="442"/>
      <c r="O49" s="259" t="str">
        <f t="shared" si="3"/>
        <v/>
      </c>
      <c r="P49" s="234"/>
      <c r="Q49" s="169">
        <f t="shared" si="4"/>
        <v>0</v>
      </c>
      <c r="R49" s="351"/>
      <c r="S49" s="368" t="str">
        <f t="shared" si="12"/>
        <v/>
      </c>
      <c r="T49" s="351"/>
      <c r="U49" s="351"/>
      <c r="V49" s="351"/>
      <c r="W49" s="351"/>
      <c r="X49" s="259"/>
      <c r="Y49" s="259" t="str">
        <f>IF(A49=0,"",G49+Y37)</f>
        <v/>
      </c>
      <c r="Z49" s="259" t="str">
        <f>IF(B49=0,"",H49+Z37)</f>
        <v/>
      </c>
      <c r="AA49" s="348"/>
      <c r="AB49" s="274">
        <f t="shared" si="13"/>
        <v>0</v>
      </c>
      <c r="AC49" s="171"/>
      <c r="AD49" s="171"/>
      <c r="AE49" s="13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</row>
    <row r="50" spans="1:54" ht="16" thickTop="1">
      <c r="A50" s="1" t="s">
        <v>22</v>
      </c>
      <c r="B50" s="57">
        <f t="shared" ref="B50:B51" si="55">IF(B$3&lt;C50,0,C50)</f>
        <v>0</v>
      </c>
      <c r="C50" s="40">
        <f>C47+1</f>
        <v>43346</v>
      </c>
      <c r="D50" s="22">
        <f t="shared" ca="1" si="1"/>
        <v>-208</v>
      </c>
      <c r="E50" s="118" t="str">
        <f>IF(B50=0,"","Monday")</f>
        <v/>
      </c>
      <c r="F50" s="55"/>
      <c r="G50" s="56"/>
      <c r="H50" s="56"/>
      <c r="I50" s="200"/>
      <c r="J50" s="128"/>
      <c r="K50" s="201" t="str">
        <f t="shared" ref="K50" si="56">IF(R50=0,"",IF(L50="","",J50))</f>
        <v/>
      </c>
      <c r="L50" s="128"/>
      <c r="M50" s="56" t="str">
        <f>IF(R50=0,"",IF(J50="","",L50))</f>
        <v/>
      </c>
      <c r="N50" s="330"/>
      <c r="O50" s="259" t="str">
        <f t="shared" si="3"/>
        <v/>
      </c>
      <c r="P50" s="260">
        <f>H$56</f>
        <v>119016.92350637606</v>
      </c>
      <c r="Q50" s="169">
        <f t="shared" si="4"/>
        <v>73.953687744320902</v>
      </c>
      <c r="R50" s="169">
        <f>IF(R$2=3,H50+G50/1.0936133+F50/0.0006213712,IF(R$2=2,H50*1.0936133+G50+F50/0.0005681818,IF(R$2=1,H50*0.0005681818*1.0936133+G50*0.0005681818+F50,"")))</f>
        <v>0</v>
      </c>
      <c r="S50" s="368" t="str">
        <f t="shared" si="12"/>
        <v/>
      </c>
      <c r="T50" s="169"/>
      <c r="U50" s="169"/>
      <c r="V50" s="170" t="str">
        <f>IF(L50="","",IF(R50=0,"",IF(B50=0,"",IF($R$2=3,R50/L50*60/1000,IF($R$2=2,R50/L50*60/1760,IF($R$2=1,R50/L50*60,""))))))</f>
        <v/>
      </c>
      <c r="W50" s="170" t="str">
        <f>IF(R50=0,"",IF(L50="","",V50*L50))</f>
        <v/>
      </c>
      <c r="X50" s="259">
        <f>F50+X47</f>
        <v>0</v>
      </c>
      <c r="Y50" s="259">
        <f>G50+Y47</f>
        <v>0</v>
      </c>
      <c r="Z50" s="259">
        <f>H50+Z47</f>
        <v>0</v>
      </c>
      <c r="AA50" s="348">
        <f t="shared" si="8"/>
        <v>0</v>
      </c>
      <c r="AB50" s="274">
        <f t="shared" si="13"/>
        <v>0</v>
      </c>
      <c r="AC50" s="100"/>
      <c r="AD50" s="100"/>
    </row>
    <row r="51" spans="1:54" ht="16" thickBot="1">
      <c r="A51" s="1"/>
      <c r="B51" s="5">
        <f t="shared" si="55"/>
        <v>0</v>
      </c>
      <c r="C51" s="38">
        <f t="shared" ref="C51" si="57">C50+1</f>
        <v>43347</v>
      </c>
      <c r="D51" s="7">
        <f t="shared" ca="1" si="1"/>
        <v>-209</v>
      </c>
      <c r="E51" s="114" t="str">
        <f>IF(B51=0,"","Tuesday")</f>
        <v/>
      </c>
      <c r="F51" s="55"/>
      <c r="G51" s="56"/>
      <c r="H51" s="56"/>
      <c r="I51" s="200"/>
      <c r="J51" s="56"/>
      <c r="K51" s="201" t="str">
        <f>IF(R51=0,"",IF(L51="","",J51))</f>
        <v/>
      </c>
      <c r="L51" s="56"/>
      <c r="M51" s="56" t="str">
        <f t="shared" ref="M51" si="58">IF(R51=0,"",IF(J51="","",L51))</f>
        <v/>
      </c>
      <c r="N51" s="329"/>
      <c r="O51" s="259" t="str">
        <f t="shared" si="3"/>
        <v/>
      </c>
      <c r="P51" s="260">
        <f>H$56</f>
        <v>119016.92350637606</v>
      </c>
      <c r="Q51" s="169">
        <f t="shared" si="4"/>
        <v>73.953687744320902</v>
      </c>
      <c r="R51" s="169">
        <f>IF(R$2=3,H51+G51/1.0936133+F51/0.0006213712,IF(R$2=2,H51*1.0936133+G51+F51/0.0005681818,IF(R$2=1,H51*0.0005681818*1.0936133+G51*0.0005681818+F51,"")))</f>
        <v>0</v>
      </c>
      <c r="S51" s="368" t="str">
        <f t="shared" si="12"/>
        <v/>
      </c>
      <c r="T51" s="169"/>
      <c r="U51" s="169"/>
      <c r="V51" s="170" t="str">
        <f>IF(L51="","",IF(R51=0,"",IF(B51=0,"",IF($R$2=3,R51/L51*60/1000,IF($R$2=2,R51/L51*60/1760,IF($R$2=1,R51/L51*60,""))))))</f>
        <v/>
      </c>
      <c r="W51" s="170" t="str">
        <f>IF(R51=0,"",IF(L51="","",V51*L51))</f>
        <v/>
      </c>
      <c r="X51" s="259">
        <f>F51+X50</f>
        <v>0</v>
      </c>
      <c r="Y51" s="259">
        <f>G51+Y50</f>
        <v>0</v>
      </c>
      <c r="Z51" s="259">
        <f>H51+Z50</f>
        <v>0</v>
      </c>
      <c r="AA51" s="348">
        <f t="shared" si="8"/>
        <v>0</v>
      </c>
      <c r="AB51" s="274">
        <f t="shared" si="13"/>
        <v>0</v>
      </c>
      <c r="AC51" s="100"/>
      <c r="AD51" s="100"/>
    </row>
    <row r="52" spans="1:54" ht="17" thickTop="1" thickBot="1">
      <c r="A52" s="29"/>
      <c r="B52" s="16"/>
      <c r="C52" s="42"/>
      <c r="D52" s="60"/>
      <c r="E52" s="113" t="s">
        <v>76</v>
      </c>
      <c r="F52" s="59">
        <f ca="1">G52*0.000568181818</f>
        <v>-6.2137005661934355E-59</v>
      </c>
      <c r="G52" s="19">
        <f ca="1">H52*1.0936113</f>
        <v>-1.0936113000000001E-55</v>
      </c>
      <c r="H52" s="129">
        <f ca="1">IF(SUM(B50:B51)=0,-1E-55,IF(TODAY()&gt;=B50,(AA51-AA47)*1000,-2E-55))</f>
        <v>-9.9999999999999999E-56</v>
      </c>
      <c r="I52" s="137"/>
      <c r="J52" s="422" t="s">
        <v>120</v>
      </c>
      <c r="K52" s="423"/>
      <c r="L52" s="423"/>
      <c r="M52" s="147"/>
      <c r="N52" s="332" t="str">
        <f>IF(R$2=1,"Distance (miles)",IF(R$2=2,"Distance (yds)",IF(R$2=3,"Distance (km)","????")))</f>
        <v>Distance (miles)</v>
      </c>
      <c r="O52" s="259"/>
      <c r="P52" s="234" t="s">
        <v>1</v>
      </c>
      <c r="Q52" s="234" t="s">
        <v>2</v>
      </c>
      <c r="R52" s="234" t="s">
        <v>3</v>
      </c>
      <c r="S52" s="234" t="s">
        <v>4</v>
      </c>
      <c r="T52" s="234" t="s">
        <v>5</v>
      </c>
      <c r="U52" s="234" t="s">
        <v>6</v>
      </c>
      <c r="V52" s="234" t="s">
        <v>7</v>
      </c>
      <c r="W52" s="259"/>
      <c r="X52" s="259"/>
      <c r="Y52" s="259"/>
      <c r="Z52" s="348"/>
      <c r="AA52" s="274"/>
      <c r="AB52" s="226"/>
      <c r="AC52" s="100"/>
      <c r="AD52" s="100"/>
    </row>
    <row r="53" spans="1:54" ht="16" thickBot="1">
      <c r="A53" s="28"/>
      <c r="B53" s="17"/>
      <c r="C53" s="39"/>
      <c r="D53" s="61"/>
      <c r="E53" s="116" t="s">
        <v>33</v>
      </c>
      <c r="F53" s="62">
        <f>G53*0.0005681818</f>
        <v>-6.2137003693434006E-59</v>
      </c>
      <c r="G53" s="63">
        <f>H53*1.0936113</f>
        <v>-1.0936113000000001E-55</v>
      </c>
      <c r="H53" s="131">
        <f>IF(SUM($O50:$O51)=0,-1E-55,SUM($O50:$O51))</f>
        <v>-9.9999999999999999E-56</v>
      </c>
      <c r="I53" s="136"/>
      <c r="J53" s="158" t="str">
        <f>'MY STATS'!AF44</f>
        <v/>
      </c>
      <c r="K53" s="159" t="str">
        <f>IF(J53="","x",J53)</f>
        <v>x</v>
      </c>
      <c r="L53" s="206" t="str">
        <f>IF(J53="","",SUMIF(K$5:K$51,K53,M$5:M$51)/1440)</f>
        <v/>
      </c>
      <c r="M53" s="207" t="str">
        <f>IF(J53="","",IF('MY STATS'!$A$15=3,SUMIF(K$5:K$51,J53,R$5:R$51)/1000,SUMIF(K$5:K$51,J53,R$5:R$51)))</f>
        <v/>
      </c>
      <c r="N53" s="333" t="str">
        <f>IF(J53="","",IF('MY STATS'!$A$15=3,SUMIF(J$5:J$51,J53,R$5:R$51)/1000,SUMIF(J$5:J$51,J53,R$5:R$51)))</f>
        <v/>
      </c>
      <c r="O53" s="353" t="s">
        <v>58</v>
      </c>
      <c r="P53" s="234">
        <f t="shared" ref="P53:V53" si="59">COUNTIFS($E$5:$E$51,P52)</f>
        <v>4</v>
      </c>
      <c r="Q53" s="234">
        <f t="shared" si="59"/>
        <v>4</v>
      </c>
      <c r="R53" s="234">
        <f t="shared" si="59"/>
        <v>5</v>
      </c>
      <c r="S53" s="234">
        <f t="shared" si="59"/>
        <v>5</v>
      </c>
      <c r="T53" s="234">
        <f t="shared" si="59"/>
        <v>5</v>
      </c>
      <c r="U53" s="234">
        <f t="shared" si="59"/>
        <v>4</v>
      </c>
      <c r="V53" s="234">
        <f t="shared" si="59"/>
        <v>4</v>
      </c>
      <c r="W53" s="259"/>
      <c r="X53" s="259"/>
      <c r="Y53" s="259"/>
      <c r="Z53" s="348"/>
      <c r="AA53" s="274"/>
      <c r="AB53" s="226"/>
      <c r="AC53" s="174"/>
      <c r="AD53" s="174"/>
    </row>
    <row r="54" spans="1:54" ht="17" thickTop="1" thickBot="1">
      <c r="A54" s="11"/>
      <c r="B54" s="11"/>
      <c r="C54" s="11"/>
      <c r="D54" s="11"/>
      <c r="E54" s="11"/>
      <c r="F54" s="11" t="s">
        <v>34</v>
      </c>
      <c r="G54" s="11" t="s">
        <v>35</v>
      </c>
      <c r="H54" s="11" t="s">
        <v>37</v>
      </c>
      <c r="I54" s="135"/>
      <c r="J54" s="160" t="str">
        <f>'MY STATS'!AG44</f>
        <v/>
      </c>
      <c r="K54" s="161" t="str">
        <f t="shared" ref="K54:K59" si="60">IF(J54="","x",J54)</f>
        <v>x</v>
      </c>
      <c r="L54" s="208" t="str">
        <f>IF(J54="","",SUMIF(K$5:K$51,K54,M$5:M$51)/1440)</f>
        <v/>
      </c>
      <c r="M54" s="209" t="str">
        <f>IF(J54="","",IF('MY STATS'!$A$15=3,SUMIF(K$5:K$51,J54,R$5:R$51)/1000,SUMIF(K$5:K$51,J54,R$5:R$51)))</f>
        <v/>
      </c>
      <c r="N54" s="334" t="str">
        <f>IF(J54="","",IF('MY STATS'!$A$15=3,SUMIF(J$5:J$51,J54,R$5:R$51)/1000,SUMIF(J$5:J$51,J54,R$5:R$51)))</f>
        <v/>
      </c>
      <c r="O54" s="353" t="s">
        <v>57</v>
      </c>
      <c r="P54" s="234">
        <f t="shared" ref="P54:V54" ca="1" si="61">COUNTIFS($D$5:$D$51,"&gt;-1",$E$5:$E$51,P52)</f>
        <v>0</v>
      </c>
      <c r="Q54" s="234">
        <f t="shared" ca="1" si="61"/>
        <v>0</v>
      </c>
      <c r="R54" s="234">
        <f t="shared" ca="1" si="61"/>
        <v>0</v>
      </c>
      <c r="S54" s="234">
        <f t="shared" ca="1" si="61"/>
        <v>0</v>
      </c>
      <c r="T54" s="234">
        <f t="shared" ca="1" si="61"/>
        <v>0</v>
      </c>
      <c r="U54" s="234">
        <f t="shared" ca="1" si="61"/>
        <v>0</v>
      </c>
      <c r="V54" s="234">
        <f t="shared" ca="1" si="61"/>
        <v>0</v>
      </c>
      <c r="W54" s="259"/>
      <c r="X54" s="259"/>
      <c r="Y54" s="259"/>
      <c r="Z54" s="348"/>
      <c r="AA54" s="274"/>
      <c r="AB54" s="226"/>
      <c r="AC54" s="100"/>
      <c r="AD54" s="100"/>
    </row>
    <row r="55" spans="1:54" ht="16" thickTop="1">
      <c r="A55" s="30"/>
      <c r="B55" s="58"/>
      <c r="C55" s="43"/>
      <c r="D55" s="43"/>
      <c r="E55" s="18" t="s">
        <v>36</v>
      </c>
      <c r="F55" s="88">
        <f>G55*0.000568181818</f>
        <v>0</v>
      </c>
      <c r="G55" s="89">
        <f>H55*1.0936113</f>
        <v>0</v>
      </c>
      <c r="H55" s="132">
        <f>AA$51*1000</f>
        <v>0</v>
      </c>
      <c r="I55" s="138"/>
      <c r="J55" s="160" t="str">
        <f>'MY STATS'!AH44</f>
        <v/>
      </c>
      <c r="K55" s="161" t="str">
        <f t="shared" si="60"/>
        <v>x</v>
      </c>
      <c r="L55" s="208" t="str">
        <f>IF(J55="","",SUMIF(K$5:K$51,K55,M$5:M$51)/1440)</f>
        <v/>
      </c>
      <c r="M55" s="209" t="str">
        <f>IF(J55="","",IF('MY STATS'!$A$15=3,SUMIF(K$5:K$51,J55,R$5:R$51)/1000,SUMIF(K$5:K$51,J55,R$5:R$51)))</f>
        <v/>
      </c>
      <c r="N55" s="334" t="str">
        <f>IF(J55="","",IF('MY STATS'!$A$15=3,SUMIF(J$5:J$51,J55,R$5:R$51)/1000,SUMIF(J$5:J$51,J55,R$5:R$51)))</f>
        <v/>
      </c>
      <c r="O55" s="353" t="s">
        <v>80</v>
      </c>
      <c r="P55" s="234">
        <f t="shared" ref="P55:V55" si="62">COUNTIFS($E$5:$E$51,P52,$R$5:$R$51,"&gt;0")</f>
        <v>0</v>
      </c>
      <c r="Q55" s="234">
        <f t="shared" si="62"/>
        <v>0</v>
      </c>
      <c r="R55" s="234">
        <f t="shared" si="62"/>
        <v>0</v>
      </c>
      <c r="S55" s="234">
        <f t="shared" si="62"/>
        <v>0</v>
      </c>
      <c r="T55" s="234">
        <f t="shared" si="62"/>
        <v>0</v>
      </c>
      <c r="U55" s="234">
        <f t="shared" si="62"/>
        <v>0</v>
      </c>
      <c r="V55" s="234">
        <f t="shared" si="62"/>
        <v>0</v>
      </c>
      <c r="W55" s="259"/>
      <c r="X55" s="259"/>
      <c r="Y55" s="259"/>
      <c r="Z55" s="348"/>
      <c r="AA55" s="274"/>
      <c r="AB55" s="226"/>
      <c r="AC55" s="100"/>
      <c r="AD55" s="100"/>
    </row>
    <row r="56" spans="1:54" ht="16" thickBot="1">
      <c r="A56" s="31"/>
      <c r="B56" s="44"/>
      <c r="C56" s="44"/>
      <c r="D56" s="44"/>
      <c r="E56" s="21" t="s">
        <v>51</v>
      </c>
      <c r="F56" s="47">
        <f>G56*0.000568181818</f>
        <v>73.953552497816972</v>
      </c>
      <c r="G56" s="48">
        <f>H56*1.0936113</f>
        <v>130158.25243780849</v>
      </c>
      <c r="H56" s="133">
        <f>SUM(H$53,H40,H31,H22,H49,H13)-1</f>
        <v>119016.92350637606</v>
      </c>
      <c r="I56" s="139"/>
      <c r="J56" s="160" t="str">
        <f>'MY STATS'!AI44</f>
        <v/>
      </c>
      <c r="K56" s="161" t="str">
        <f t="shared" si="60"/>
        <v>x</v>
      </c>
      <c r="L56" s="208" t="str">
        <f>IF(J56="","",SUMIF(K$5:K$51,K56,M$5:M$51)/1440)</f>
        <v/>
      </c>
      <c r="M56" s="209" t="str">
        <f>IF(J56="","",IF('MY STATS'!$A$15=3,SUMIF(K$5:K$51,J56,R$5:R$51)/1000,SUMIF(K$5:K$51,J56,R$5:R$51)))</f>
        <v/>
      </c>
      <c r="N56" s="334" t="str">
        <f>IF(J56="","",IF('MY STATS'!$A$15=3,SUMIF(J$5:J$51,J56,R$5:R$51)/1000,SUMIF(J$5:J$51,J56,R$5:R$51)))</f>
        <v/>
      </c>
      <c r="O56" s="353" t="s">
        <v>136</v>
      </c>
      <c r="P56" s="234"/>
      <c r="Q56" s="234"/>
      <c r="R56" s="234"/>
      <c r="S56" s="234"/>
      <c r="T56" s="234"/>
      <c r="U56" s="234"/>
      <c r="V56" s="234"/>
      <c r="W56" s="259"/>
      <c r="X56" s="259"/>
      <c r="Y56" s="259"/>
      <c r="Z56" s="348"/>
      <c r="AA56" s="274"/>
      <c r="AB56" s="226"/>
      <c r="AC56" s="100"/>
      <c r="AD56" s="100"/>
      <c r="AF56" s="15"/>
    </row>
    <row r="57" spans="1:54" ht="17" thickTop="1" thickBot="1">
      <c r="A57" s="49"/>
      <c r="B57" s="49"/>
      <c r="C57" s="49"/>
      <c r="D57" s="49"/>
      <c r="E57" s="49"/>
      <c r="F57" s="49"/>
      <c r="G57" s="49"/>
      <c r="H57" s="49"/>
      <c r="I57" s="140"/>
      <c r="J57" s="160" t="str">
        <f>'MY STATS'!AJ44</f>
        <v/>
      </c>
      <c r="K57" s="161" t="str">
        <f>IF(J57="","x",J57)</f>
        <v>x</v>
      </c>
      <c r="L57" s="208" t="str">
        <f>IF(J57="","",SUMIF(K$5:K$51,K57,M$5:M$51)/1440)</f>
        <v/>
      </c>
      <c r="M57" s="209" t="str">
        <f>IF(J57="","",IF('MY STATS'!$A$15=3,SUMIF(K$5:K$51,J57,R$5:R$51)/1000,SUMIF(K$5:K$51,J57,R$5:R$51)))</f>
        <v/>
      </c>
      <c r="N57" s="334" t="str">
        <f>IF(J57="","",IF('MY STATS'!$A$15=3,SUMIF(J$5:J$51,J57,R$5:R$51)/1000,SUMIF(J$5:J$51,J57,R$5:R$51)))</f>
        <v/>
      </c>
      <c r="O57" s="353" t="s">
        <v>126</v>
      </c>
      <c r="P57" s="339">
        <f t="shared" ref="P57:V57" si="63">SUMIF($E$5:$E$51,P52,$S$5:$S$51)</f>
        <v>0</v>
      </c>
      <c r="Q57" s="339">
        <f t="shared" si="63"/>
        <v>0</v>
      </c>
      <c r="R57" s="339">
        <f t="shared" si="63"/>
        <v>0</v>
      </c>
      <c r="S57" s="339">
        <f t="shared" si="63"/>
        <v>0</v>
      </c>
      <c r="T57" s="339">
        <f t="shared" si="63"/>
        <v>0</v>
      </c>
      <c r="U57" s="339">
        <f t="shared" si="63"/>
        <v>0</v>
      </c>
      <c r="V57" s="339">
        <f t="shared" si="63"/>
        <v>0</v>
      </c>
      <c r="W57" s="230"/>
      <c r="X57" s="230"/>
      <c r="Y57" s="230"/>
      <c r="Z57" s="234"/>
      <c r="AA57" s="230"/>
      <c r="AB57" s="226"/>
      <c r="AC57" s="100"/>
      <c r="AD57" s="100"/>
    </row>
    <row r="58" spans="1:54" ht="17" thickTop="1" thickBot="1">
      <c r="A58" s="77">
        <f>A1</f>
        <v>8</v>
      </c>
      <c r="B58" s="78"/>
      <c r="C58" s="79"/>
      <c r="D58" s="71"/>
      <c r="E58" s="72" t="s">
        <v>91</v>
      </c>
      <c r="F58" s="90">
        <f>G58*0.000568181818</f>
        <v>0</v>
      </c>
      <c r="G58" s="91">
        <f>H58*1.0936113</f>
        <v>0</v>
      </c>
      <c r="H58" s="92">
        <f>H$55+G$3</f>
        <v>0</v>
      </c>
      <c r="I58" s="140"/>
      <c r="J58" s="162" t="s">
        <v>112</v>
      </c>
      <c r="K58" s="163"/>
      <c r="L58" s="210">
        <f>L59-SUM(L53:L57)</f>
        <v>0</v>
      </c>
      <c r="M58" s="211">
        <f>(M59-SUM(M53:M57))</f>
        <v>0</v>
      </c>
      <c r="N58" s="335">
        <f>(N59-SUM(N53:N57))</f>
        <v>0</v>
      </c>
      <c r="O58" s="353" t="s">
        <v>127</v>
      </c>
      <c r="P58" s="354">
        <f>IF(COUNTIFS($E$5:$E$51,P52,$L$5:$L$51,"&gt;0")=0,0,(SUMIF($E$5:$E$51,P52,$L$5:$L$51)+IF(SUMIF($E$5:$E$51,P52,$R$5:$R$51)=0,-SUMIF($E$5:$E$51,P52,$L$5:$L$51)))/60)</f>
        <v>0</v>
      </c>
      <c r="Q58" s="354">
        <f t="shared" ref="Q58:V58" si="64">IF(COUNTIFS($E$5:$E$51,Q52,$L$5:$L$51,"&gt;0")=0,0,(SUMIF($E$5:$E$51,Q52,$L$5:$L$51)+IF(SUMIF($E$5:$E$51,Q52,$R$5:$R$51)=0,-SUMIF($E$5:$E$51,Q52,$L$5:$L$51)))/60)</f>
        <v>0</v>
      </c>
      <c r="R58" s="354">
        <f t="shared" si="64"/>
        <v>0</v>
      </c>
      <c r="S58" s="354">
        <f t="shared" si="64"/>
        <v>0</v>
      </c>
      <c r="T58" s="354">
        <f t="shared" si="64"/>
        <v>0</v>
      </c>
      <c r="U58" s="354">
        <f t="shared" si="64"/>
        <v>0</v>
      </c>
      <c r="V58" s="354">
        <f t="shared" si="64"/>
        <v>0</v>
      </c>
      <c r="W58" s="230"/>
      <c r="X58" s="230"/>
      <c r="Y58" s="230"/>
      <c r="Z58" s="234"/>
      <c r="AA58" s="230"/>
      <c r="AB58" s="226"/>
      <c r="AC58" s="100"/>
      <c r="AD58" s="100"/>
    </row>
    <row r="59" spans="1:54" ht="17" thickTop="1" thickBot="1">
      <c r="A59" s="80">
        <f>A1</f>
        <v>8</v>
      </c>
      <c r="B59" s="81"/>
      <c r="C59" s="82"/>
      <c r="D59" s="73"/>
      <c r="E59" s="74" t="s">
        <v>63</v>
      </c>
      <c r="F59" s="75">
        <f>G59*0.000568181818</f>
        <v>242.99955560160072</v>
      </c>
      <c r="G59" s="76">
        <f>H59*1.0936113</f>
        <v>427679.21799567458</v>
      </c>
      <c r="H59" s="134">
        <f>VLOOKUP($A$1,'MY STATS'!B$29:K$40,10)</f>
        <v>391070.59153071529</v>
      </c>
      <c r="I59" s="138"/>
      <c r="J59" s="164" t="s">
        <v>68</v>
      </c>
      <c r="K59" s="165" t="str">
        <f t="shared" si="60"/>
        <v>total</v>
      </c>
      <c r="L59" s="212">
        <f>(SUM(L5:L51)-L40)/1440</f>
        <v>0</v>
      </c>
      <c r="M59" s="213">
        <f>IF('MY STATS'!$A$15=3,SUM(R5:R51)/1000,SUM(R5:R51))</f>
        <v>0</v>
      </c>
      <c r="N59" s="336">
        <f>IF('MY STATS'!$A$15=3,SUM(R5:R51)/1000,SUM(R5:R51))</f>
        <v>0</v>
      </c>
      <c r="O59" s="353" t="s">
        <v>111</v>
      </c>
      <c r="P59" s="235">
        <f>IFERROR(IF('MY STATS'!$A15=1,P57/P58,IF('MY STATS'!$A15=2,P57/1760/P58,IF('MY STATS'!$A15=3,P57/1000/P58,0))),0)</f>
        <v>0</v>
      </c>
      <c r="Q59" s="235">
        <f>IFERROR(IF('MY STATS'!$A15=1,Q57/Q58,IF('MY STATS'!$A15=2,Q57/1760/Q58,IF('MY STATS'!$A15=3,Q57/1000/Q58,0))),0)</f>
        <v>0</v>
      </c>
      <c r="R59" s="235">
        <f>IFERROR(IF('MY STATS'!$A15=1,R57/R58,IF('MY STATS'!$A15=2,R57/1760/R58,IF('MY STATS'!$A15=3,R57/1000/R58,0))),0)</f>
        <v>0</v>
      </c>
      <c r="S59" s="235">
        <f>IFERROR(IF('MY STATS'!$A15=1,S57/S58,IF('MY STATS'!$A15=2,S57/1760/S58,IF('MY STATS'!$A15=3,S57/1000/S58,0))),0)</f>
        <v>0</v>
      </c>
      <c r="T59" s="235">
        <f>IFERROR(IF('MY STATS'!$A15=1,T57/T58,IF('MY STATS'!$A15=2,T57/1760/T58,IF('MY STATS'!$A15=3,T57/1000/T58,0))),0)</f>
        <v>0</v>
      </c>
      <c r="U59" s="235">
        <f>IFERROR(IF('MY STATS'!$A15=1,U57/U58,IF('MY STATS'!$A15=2,U57/1760/U58,IF('MY STATS'!$A15=3,U57/1000/U58,0))),0)</f>
        <v>0</v>
      </c>
      <c r="V59" s="235">
        <f>IFERROR(IF('MY STATS'!$A15=1,V57/V58,IF('MY STATS'!$A15=2,V57/1760/V58,IF('MY STATS'!$A15=3,V57/1000/V58,0))),0)</f>
        <v>0</v>
      </c>
      <c r="W59" s="230"/>
      <c r="X59" s="230"/>
      <c r="Y59" s="230"/>
      <c r="Z59" s="234"/>
      <c r="AA59" s="230"/>
      <c r="AB59" s="226"/>
      <c r="AC59" s="100"/>
      <c r="AD59" s="100"/>
    </row>
    <row r="60" spans="1:54" ht="16" thickTop="1"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38"/>
      <c r="AB60" s="226"/>
      <c r="AC60" s="100"/>
      <c r="AD60" s="100"/>
    </row>
    <row r="61" spans="1:54"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20"/>
      <c r="AB61" s="100"/>
      <c r="AC61" s="100"/>
      <c r="AD61" s="100"/>
    </row>
    <row r="62" spans="1:54" ht="6.75" customHeight="1"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20"/>
      <c r="AB62" s="100"/>
      <c r="AC62" s="100"/>
      <c r="AD62" s="100"/>
    </row>
    <row r="63" spans="1:54">
      <c r="S63" s="97"/>
    </row>
    <row r="64" spans="1:54">
      <c r="S64" s="97"/>
      <c r="X64" s="8"/>
      <c r="AA64" s="3"/>
    </row>
    <row r="65" spans="19:26">
      <c r="S65" s="97"/>
    </row>
    <row r="66" spans="19:26" s="3" customFormat="1">
      <c r="S66" s="97"/>
      <c r="Z66" s="8"/>
    </row>
  </sheetData>
  <sheetProtection sheet="1" objects="1" scenarios="1" selectLockedCells="1"/>
  <mergeCells count="8">
    <mergeCell ref="J49:N49"/>
    <mergeCell ref="J52:L52"/>
    <mergeCell ref="J12:N12"/>
    <mergeCell ref="J13:N13"/>
    <mergeCell ref="J21:N22"/>
    <mergeCell ref="J30:N30"/>
    <mergeCell ref="J31:N31"/>
    <mergeCell ref="J48:N48"/>
  </mergeCells>
  <conditionalFormatting sqref="B14:B20 B23:B29 B49:B51 B40:B47 B53 B31:B38 D3 B5:B11">
    <cfRule type="cellIs" dxfId="5524" priority="1374" stopIfTrue="1" operator="notBetween">
      <formula>$B$2</formula>
      <formula>$B$3</formula>
    </cfRule>
  </conditionalFormatting>
  <conditionalFormatting sqref="B14:B20 B23:B29 B49:B51 B40:B47 B53 B31:B38 D3 B5:B11">
    <cfRule type="cellIs" dxfId="5523" priority="1375" operator="greaterThan">
      <formula>$E$3</formula>
    </cfRule>
    <cfRule type="cellIs" dxfId="5522" priority="1376" operator="equal">
      <formula>$E$3</formula>
    </cfRule>
    <cfRule type="cellIs" dxfId="5521" priority="1377" operator="lessThan">
      <formula>$E$3</formula>
    </cfRule>
  </conditionalFormatting>
  <conditionalFormatting sqref="F58:H58 F55:H55">
    <cfRule type="expression" dxfId="5520" priority="1372">
      <formula>$F55&gt;=$F56</formula>
    </cfRule>
  </conditionalFormatting>
  <conditionalFormatting sqref="F5:H10 F14:G20 F23:G29 F38:H38 F41:H47 F11:G11 F32:G37">
    <cfRule type="cellIs" dxfId="5519" priority="1362" stopIfTrue="1" operator="lessThan">
      <formula>0</formula>
    </cfRule>
  </conditionalFormatting>
  <conditionalFormatting sqref="C32:C38 C41:C47 C50:C51 C14:C20 C23:C29 C5:C11">
    <cfRule type="cellIs" dxfId="5518" priority="1367" stopIfTrue="1" operator="notBetween">
      <formula>$B$2</formula>
      <formula>$B$3</formula>
    </cfRule>
  </conditionalFormatting>
  <conditionalFormatting sqref="C41:C47 C50:C51 C32:C38 C14:C20 C23:C29 C5:C11">
    <cfRule type="cellIs" dxfId="5517" priority="1368" operator="greaterThan">
      <formula>$E$3</formula>
    </cfRule>
    <cfRule type="cellIs" dxfId="5516" priority="1369" operator="equal">
      <formula>$E$3</formula>
    </cfRule>
    <cfRule type="cellIs" dxfId="5515" priority="1370" operator="lessThan">
      <formula>$E$3</formula>
    </cfRule>
  </conditionalFormatting>
  <conditionalFormatting sqref="F14:G20 F23:G29 F38:H38 F41:H47 F32:G37">
    <cfRule type="expression" dxfId="5514" priority="1366">
      <formula>$C14&lt;$E$3</formula>
    </cfRule>
  </conditionalFormatting>
  <conditionalFormatting sqref="F5:H10 F14:G20 F23:G29 F38:H38 F41:H47 F11:G11 F32:G37">
    <cfRule type="expression" dxfId="5513" priority="1363">
      <formula>$C5=$E$3</formula>
    </cfRule>
    <cfRule type="expression" dxfId="5512" priority="1364">
      <formula>$C5&lt;$E$3</formula>
    </cfRule>
    <cfRule type="cellIs" dxfId="5511" priority="1365" operator="equal">
      <formula>0</formula>
    </cfRule>
    <cfRule type="expression" dxfId="5510" priority="1371">
      <formula>$C5&gt;$E$3</formula>
    </cfRule>
  </conditionalFormatting>
  <conditionalFormatting sqref="F12:G12">
    <cfRule type="expression" dxfId="5509" priority="1361">
      <formula>$F12&gt;=$F13</formula>
    </cfRule>
  </conditionalFormatting>
  <conditionalFormatting sqref="F21:G21">
    <cfRule type="expression" dxfId="5508" priority="1360">
      <formula>$F21&gt;=$F22</formula>
    </cfRule>
  </conditionalFormatting>
  <conditionalFormatting sqref="F39:H39">
    <cfRule type="expression" dxfId="5507" priority="1359">
      <formula>$F39&gt;=$F40</formula>
    </cfRule>
  </conditionalFormatting>
  <conditionalFormatting sqref="F30:G30">
    <cfRule type="expression" dxfId="5506" priority="1358">
      <formula>$F30&gt;=$F31</formula>
    </cfRule>
  </conditionalFormatting>
  <conditionalFormatting sqref="F48:H48">
    <cfRule type="expression" dxfId="5505" priority="1356" stopIfTrue="1">
      <formula>$H$48=-1E-55</formula>
    </cfRule>
    <cfRule type="expression" dxfId="5504" priority="1357">
      <formula>$F48&gt;=$F49</formula>
    </cfRule>
  </conditionalFormatting>
  <conditionalFormatting sqref="F14:G20 F23:G29 F38:H38 F41:H47 F32:G37">
    <cfRule type="expression" dxfId="5503" priority="1355">
      <formula>$C14&lt;$E$3</formula>
    </cfRule>
  </conditionalFormatting>
  <conditionalFormatting sqref="F14:G20 F5:H10 F23:G29 F38:H38 F41:H47 F11:G11 F32:G37">
    <cfRule type="expression" dxfId="5502" priority="1351">
      <formula>$C5=$E$3</formula>
    </cfRule>
    <cfRule type="expression" dxfId="5501" priority="1352">
      <formula>$C5&lt;$E$3</formula>
    </cfRule>
    <cfRule type="cellIs" dxfId="5500" priority="1353" operator="equal">
      <formula>0</formula>
    </cfRule>
    <cfRule type="expression" dxfId="5499" priority="1354">
      <formula>$C5&gt;$E$3</formula>
    </cfRule>
  </conditionalFormatting>
  <conditionalFormatting sqref="F12:G12">
    <cfRule type="expression" dxfId="5498" priority="1350">
      <formula>$F12&gt;=$F13</formula>
    </cfRule>
  </conditionalFormatting>
  <conditionalFormatting sqref="F21:G21">
    <cfRule type="expression" dxfId="5497" priority="1349">
      <formula>$F21&gt;=$F22</formula>
    </cfRule>
  </conditionalFormatting>
  <conditionalFormatting sqref="F39:H39">
    <cfRule type="expression" dxfId="5496" priority="1348">
      <formula>$F39&gt;=$F40</formula>
    </cfRule>
  </conditionalFormatting>
  <conditionalFormatting sqref="F30:G30">
    <cfRule type="expression" dxfId="5495" priority="1347">
      <formula>$F30&gt;=$F31</formula>
    </cfRule>
  </conditionalFormatting>
  <conditionalFormatting sqref="F48:H48">
    <cfRule type="expression" dxfId="5494" priority="1345" stopIfTrue="1">
      <formula>$E$41=""</formula>
    </cfRule>
    <cfRule type="expression" dxfId="5493" priority="1346">
      <formula>$F48&gt;=$F49</formula>
    </cfRule>
  </conditionalFormatting>
  <conditionalFormatting sqref="F41:H47">
    <cfRule type="expression" dxfId="5492" priority="1344">
      <formula>$E41=""</formula>
    </cfRule>
  </conditionalFormatting>
  <conditionalFormatting sqref="F47:H47">
    <cfRule type="expression" dxfId="5491" priority="1343">
      <formula>$E$46=""</formula>
    </cfRule>
  </conditionalFormatting>
  <conditionalFormatting sqref="F45:H45">
    <cfRule type="expression" dxfId="5490" priority="1342">
      <formula>$E45=""</formula>
    </cfRule>
  </conditionalFormatting>
  <conditionalFormatting sqref="F5:H10 F11:G11">
    <cfRule type="expression" dxfId="5489" priority="1341">
      <formula>$C5&lt;$E$3</formula>
    </cfRule>
  </conditionalFormatting>
  <conditionalFormatting sqref="F5:H10 F11:G11">
    <cfRule type="expression" dxfId="5488" priority="1340">
      <formula>$E5=""</formula>
    </cfRule>
  </conditionalFormatting>
  <conditionalFormatting sqref="F5:H10 F11:G11">
    <cfRule type="expression" dxfId="5487" priority="1336">
      <formula>$C5=$E$3</formula>
    </cfRule>
    <cfRule type="expression" dxfId="5486" priority="1337">
      <formula>$C5&lt;$E$3</formula>
    </cfRule>
    <cfRule type="cellIs" dxfId="5485" priority="1338" operator="equal">
      <formula>0</formula>
    </cfRule>
    <cfRule type="expression" dxfId="5484" priority="1339">
      <formula>$C5&gt;$E$3</formula>
    </cfRule>
  </conditionalFormatting>
  <conditionalFormatting sqref="F5:H10 F11:G11">
    <cfRule type="expression" dxfId="5483" priority="1335">
      <formula>$C5&lt;$E$3</formula>
    </cfRule>
  </conditionalFormatting>
  <conditionalFormatting sqref="F5:H10 F11:G11">
    <cfRule type="expression" dxfId="5482" priority="1334">
      <formula>$E5=""</formula>
    </cfRule>
  </conditionalFormatting>
  <conditionalFormatting sqref="F14:G20">
    <cfRule type="expression" dxfId="5481" priority="1333">
      <formula>$C14&lt;$E$3</formula>
    </cfRule>
  </conditionalFormatting>
  <conditionalFormatting sqref="F14:G20">
    <cfRule type="expression" dxfId="5480" priority="1329">
      <formula>$C14=$E$3</formula>
    </cfRule>
    <cfRule type="expression" dxfId="5479" priority="1330">
      <formula>$C14&lt;$E$3</formula>
    </cfRule>
    <cfRule type="cellIs" dxfId="5478" priority="1331" operator="equal">
      <formula>0</formula>
    </cfRule>
    <cfRule type="expression" dxfId="5477" priority="1332">
      <formula>$C14&gt;$E$3</formula>
    </cfRule>
  </conditionalFormatting>
  <conditionalFormatting sqref="F5:H10 F11:G11">
    <cfRule type="expression" dxfId="5476" priority="1328">
      <formula>$C5&lt;$E$3</formula>
    </cfRule>
  </conditionalFormatting>
  <conditionalFormatting sqref="F5:H10 F11:G11">
    <cfRule type="expression" dxfId="5475" priority="1324">
      <formula>$C5=$E$3</formula>
    </cfRule>
    <cfRule type="expression" dxfId="5474" priority="1325">
      <formula>$C5&lt;$E$3</formula>
    </cfRule>
    <cfRule type="cellIs" dxfId="5473" priority="1326" operator="equal">
      <formula>0</formula>
    </cfRule>
    <cfRule type="expression" dxfId="5472" priority="1327">
      <formula>$C5&gt;$E$3</formula>
    </cfRule>
  </conditionalFormatting>
  <conditionalFormatting sqref="F5:H10 F11:G11">
    <cfRule type="expression" dxfId="5471" priority="1323">
      <formula>$E5=""</formula>
    </cfRule>
  </conditionalFormatting>
  <conditionalFormatting sqref="F5:H10 F11:G11">
    <cfRule type="expression" dxfId="5470" priority="1322">
      <formula>$C5&lt;$E$3</formula>
    </cfRule>
  </conditionalFormatting>
  <conditionalFormatting sqref="F5:H10 F11:G11">
    <cfRule type="expression" dxfId="5469" priority="1321">
      <formula>$E5=""</formula>
    </cfRule>
  </conditionalFormatting>
  <conditionalFormatting sqref="F5:H10 F11:G11">
    <cfRule type="expression" dxfId="5468" priority="1320">
      <formula>$E5=""</formula>
    </cfRule>
  </conditionalFormatting>
  <conditionalFormatting sqref="F5:H10 F11:G11">
    <cfRule type="expression" dxfId="5467" priority="1319">
      <formula>$C5&lt;$E$3</formula>
    </cfRule>
  </conditionalFormatting>
  <conditionalFormatting sqref="F5:H10 F11:G11">
    <cfRule type="expression" dxfId="5466" priority="1318">
      <formula>$E5=""</formula>
    </cfRule>
  </conditionalFormatting>
  <conditionalFormatting sqref="F5:H10 F11:G11">
    <cfRule type="expression" dxfId="5465" priority="1317">
      <formula>$C5&lt;$E$3</formula>
    </cfRule>
  </conditionalFormatting>
  <conditionalFormatting sqref="F5:H10 F11:G11">
    <cfRule type="expression" dxfId="5464" priority="1316">
      <formula>$E5=""</formula>
    </cfRule>
  </conditionalFormatting>
  <conditionalFormatting sqref="F5:H10 F11:G11">
    <cfRule type="expression" dxfId="5463" priority="1315">
      <formula>$C5&lt;$E$3</formula>
    </cfRule>
  </conditionalFormatting>
  <conditionalFormatting sqref="F5:H10 F11:G11">
    <cfRule type="expression" dxfId="5462" priority="1314">
      <formula>$E5=""</formula>
    </cfRule>
  </conditionalFormatting>
  <conditionalFormatting sqref="F14:G20">
    <cfRule type="expression" dxfId="5461" priority="1313">
      <formula>$C14&lt;$E$3</formula>
    </cfRule>
  </conditionalFormatting>
  <conditionalFormatting sqref="F14:G20">
    <cfRule type="expression" dxfId="5460" priority="1309">
      <formula>$C14=$E$3</formula>
    </cfRule>
    <cfRule type="expression" dxfId="5459" priority="1310">
      <formula>$C14&lt;$E$3</formula>
    </cfRule>
    <cfRule type="cellIs" dxfId="5458" priority="1311" operator="equal">
      <formula>0</formula>
    </cfRule>
    <cfRule type="expression" dxfId="5457" priority="1312">
      <formula>$C14&gt;$E$3</formula>
    </cfRule>
  </conditionalFormatting>
  <conditionalFormatting sqref="F14:G20">
    <cfRule type="expression" dxfId="5456" priority="1308">
      <formula>$E14=""</formula>
    </cfRule>
  </conditionalFormatting>
  <conditionalFormatting sqref="F14:G20">
    <cfRule type="expression" dxfId="5455" priority="1307">
      <formula>$C14&lt;$E$3</formula>
    </cfRule>
  </conditionalFormatting>
  <conditionalFormatting sqref="F14:G20">
    <cfRule type="expression" dxfId="5454" priority="1306">
      <formula>$E14=""</formula>
    </cfRule>
  </conditionalFormatting>
  <conditionalFormatting sqref="F14:G20">
    <cfRule type="expression" dxfId="5453" priority="1305">
      <formula>$E14=""</formula>
    </cfRule>
  </conditionalFormatting>
  <conditionalFormatting sqref="F14:G20">
    <cfRule type="expression" dxfId="5452" priority="1304">
      <formula>$C14&lt;$E$3</formula>
    </cfRule>
  </conditionalFormatting>
  <conditionalFormatting sqref="F14:G20">
    <cfRule type="expression" dxfId="5451" priority="1303">
      <formula>$E14=""</formula>
    </cfRule>
  </conditionalFormatting>
  <conditionalFormatting sqref="F14:G20">
    <cfRule type="expression" dxfId="5450" priority="1302">
      <formula>$C14&lt;$E$3</formula>
    </cfRule>
  </conditionalFormatting>
  <conditionalFormatting sqref="F14:G20">
    <cfRule type="expression" dxfId="5449" priority="1301">
      <formula>$E14=""</formula>
    </cfRule>
  </conditionalFormatting>
  <conditionalFormatting sqref="F14:G20">
    <cfRule type="expression" dxfId="5448" priority="1300">
      <formula>$C14&lt;$E$3</formula>
    </cfRule>
  </conditionalFormatting>
  <conditionalFormatting sqref="F14:G20">
    <cfRule type="expression" dxfId="5447" priority="1299">
      <formula>$E14=""</formula>
    </cfRule>
  </conditionalFormatting>
  <conditionalFormatting sqref="F23:G29">
    <cfRule type="expression" dxfId="5446" priority="1298">
      <formula>$C23&lt;$E$3</formula>
    </cfRule>
  </conditionalFormatting>
  <conditionalFormatting sqref="F23:G29">
    <cfRule type="expression" dxfId="5445" priority="1294">
      <formula>$C23=$E$3</formula>
    </cfRule>
    <cfRule type="expression" dxfId="5444" priority="1295">
      <formula>$C23&lt;$E$3</formula>
    </cfRule>
    <cfRule type="cellIs" dxfId="5443" priority="1296" operator="equal">
      <formula>0</formula>
    </cfRule>
    <cfRule type="expression" dxfId="5442" priority="1297">
      <formula>$C23&gt;$E$3</formula>
    </cfRule>
  </conditionalFormatting>
  <conditionalFormatting sqref="F23:G29">
    <cfRule type="expression" dxfId="5441" priority="1293">
      <formula>$C23&lt;$E$3</formula>
    </cfRule>
  </conditionalFormatting>
  <conditionalFormatting sqref="F23:G29">
    <cfRule type="expression" dxfId="5440" priority="1289">
      <formula>$C23=$E$3</formula>
    </cfRule>
    <cfRule type="expression" dxfId="5439" priority="1290">
      <formula>$C23&lt;$E$3</formula>
    </cfRule>
    <cfRule type="cellIs" dxfId="5438" priority="1291" operator="equal">
      <formula>0</formula>
    </cfRule>
    <cfRule type="expression" dxfId="5437" priority="1292">
      <formula>$C23&gt;$E$3</formula>
    </cfRule>
  </conditionalFormatting>
  <conditionalFormatting sqref="F23:G29">
    <cfRule type="expression" dxfId="5436" priority="1288">
      <formula>$E23=""</formula>
    </cfRule>
  </conditionalFormatting>
  <conditionalFormatting sqref="F23:G29">
    <cfRule type="expression" dxfId="5435" priority="1287">
      <formula>$C23&lt;$E$3</formula>
    </cfRule>
  </conditionalFormatting>
  <conditionalFormatting sqref="F23:G29">
    <cfRule type="expression" dxfId="5434" priority="1286">
      <formula>$E23=""</formula>
    </cfRule>
  </conditionalFormatting>
  <conditionalFormatting sqref="F23:G29">
    <cfRule type="expression" dxfId="5433" priority="1285">
      <formula>$E23=""</formula>
    </cfRule>
  </conditionalFormatting>
  <conditionalFormatting sqref="F23:G29">
    <cfRule type="expression" dxfId="5432" priority="1284">
      <formula>$C23&lt;$E$3</formula>
    </cfRule>
  </conditionalFormatting>
  <conditionalFormatting sqref="F23:G29">
    <cfRule type="expression" dxfId="5431" priority="1283">
      <formula>$E23=""</formula>
    </cfRule>
  </conditionalFormatting>
  <conditionalFormatting sqref="F23:G29">
    <cfRule type="expression" dxfId="5430" priority="1282">
      <formula>$C23&lt;$E$3</formula>
    </cfRule>
  </conditionalFormatting>
  <conditionalFormatting sqref="F23:G29">
    <cfRule type="expression" dxfId="5429" priority="1281">
      <formula>$E23=""</formula>
    </cfRule>
  </conditionalFormatting>
  <conditionalFormatting sqref="F23:G29">
    <cfRule type="expression" dxfId="5428" priority="1280">
      <formula>$C23&lt;$E$3</formula>
    </cfRule>
  </conditionalFormatting>
  <conditionalFormatting sqref="F23:G29">
    <cfRule type="expression" dxfId="5427" priority="1279">
      <formula>$E23=""</formula>
    </cfRule>
  </conditionalFormatting>
  <conditionalFormatting sqref="F38:H38 F32:G37">
    <cfRule type="expression" dxfId="5426" priority="1278">
      <formula>$C32&lt;$E$3</formula>
    </cfRule>
  </conditionalFormatting>
  <conditionalFormatting sqref="F38:H38 F32:G37">
    <cfRule type="expression" dxfId="5425" priority="1274">
      <formula>$C32=$E$3</formula>
    </cfRule>
    <cfRule type="expression" dxfId="5424" priority="1275">
      <formula>$C32&lt;$E$3</formula>
    </cfRule>
    <cfRule type="cellIs" dxfId="5423" priority="1276" operator="equal">
      <formula>0</formula>
    </cfRule>
    <cfRule type="expression" dxfId="5422" priority="1277">
      <formula>$C32&gt;$E$3</formula>
    </cfRule>
  </conditionalFormatting>
  <conditionalFormatting sqref="F38:H38 F32:G37">
    <cfRule type="expression" dxfId="5421" priority="1273">
      <formula>$C32&lt;$E$3</formula>
    </cfRule>
  </conditionalFormatting>
  <conditionalFormatting sqref="F38:H38 F32:G37">
    <cfRule type="expression" dxfId="5420" priority="1269">
      <formula>$C32=$E$3</formula>
    </cfRule>
    <cfRule type="expression" dxfId="5419" priority="1270">
      <formula>$C32&lt;$E$3</formula>
    </cfRule>
    <cfRule type="cellIs" dxfId="5418" priority="1271" operator="equal">
      <formula>0</formula>
    </cfRule>
    <cfRule type="expression" dxfId="5417" priority="1272">
      <formula>$C32&gt;$E$3</formula>
    </cfRule>
  </conditionalFormatting>
  <conditionalFormatting sqref="F38:H38 F32:G37">
    <cfRule type="expression" dxfId="5416" priority="1268">
      <formula>$E32=""</formula>
    </cfRule>
  </conditionalFormatting>
  <conditionalFormatting sqref="F38:H38 F32:G37">
    <cfRule type="expression" dxfId="5415" priority="1267">
      <formula>$C32&lt;$E$3</formula>
    </cfRule>
  </conditionalFormatting>
  <conditionalFormatting sqref="F38:H38 F32:G37">
    <cfRule type="expression" dxfId="5414" priority="1266">
      <formula>$E32=""</formula>
    </cfRule>
  </conditionalFormatting>
  <conditionalFormatting sqref="F38:H38 F32:G37">
    <cfRule type="expression" dxfId="5413" priority="1265">
      <formula>$E32=""</formula>
    </cfRule>
  </conditionalFormatting>
  <conditionalFormatting sqref="F38:H38 F32:G37">
    <cfRule type="expression" dxfId="5412" priority="1264">
      <formula>$C32&lt;$E$3</formula>
    </cfRule>
  </conditionalFormatting>
  <conditionalFormatting sqref="F38:H38 F32:G37">
    <cfRule type="expression" dxfId="5411" priority="1263">
      <formula>$E32=""</formula>
    </cfRule>
  </conditionalFormatting>
  <conditionalFormatting sqref="F38:H38 F32:G37">
    <cfRule type="expression" dxfId="5410" priority="1262">
      <formula>$C32&lt;$E$3</formula>
    </cfRule>
  </conditionalFormatting>
  <conditionalFormatting sqref="F38:H38 F32:G37">
    <cfRule type="expression" dxfId="5409" priority="1261">
      <formula>$E32=""</formula>
    </cfRule>
  </conditionalFormatting>
  <conditionalFormatting sqref="F38:H38 F32:G37">
    <cfRule type="expression" dxfId="5408" priority="1260">
      <formula>$C32&lt;$E$3</formula>
    </cfRule>
  </conditionalFormatting>
  <conditionalFormatting sqref="F38:H38 F32:G37">
    <cfRule type="expression" dxfId="5407" priority="1259">
      <formula>$E32=""</formula>
    </cfRule>
  </conditionalFormatting>
  <conditionalFormatting sqref="F41:H47">
    <cfRule type="expression" dxfId="5406" priority="1258">
      <formula>$C41&lt;$E$3</formula>
    </cfRule>
  </conditionalFormatting>
  <conditionalFormatting sqref="F41:H47">
    <cfRule type="expression" dxfId="5405" priority="1254">
      <formula>$C41=$E$3</formula>
    </cfRule>
    <cfRule type="expression" dxfId="5404" priority="1255">
      <formula>$C41&lt;$E$3</formula>
    </cfRule>
    <cfRule type="cellIs" dxfId="5403" priority="1256" operator="equal">
      <formula>0</formula>
    </cfRule>
    <cfRule type="expression" dxfId="5402" priority="1257">
      <formula>$C41&gt;$E$3</formula>
    </cfRule>
  </conditionalFormatting>
  <conditionalFormatting sqref="F41:H47">
    <cfRule type="expression" dxfId="5401" priority="1253">
      <formula>$C41&lt;$E$3</formula>
    </cfRule>
  </conditionalFormatting>
  <conditionalFormatting sqref="F41:H47">
    <cfRule type="expression" dxfId="5400" priority="1249">
      <formula>$C41=$E$3</formula>
    </cfRule>
    <cfRule type="expression" dxfId="5399" priority="1250">
      <formula>$C41&lt;$E$3</formula>
    </cfRule>
    <cfRule type="cellIs" dxfId="5398" priority="1251" operator="equal">
      <formula>0</formula>
    </cfRule>
    <cfRule type="expression" dxfId="5397" priority="1252">
      <formula>$C41&gt;$E$3</formula>
    </cfRule>
  </conditionalFormatting>
  <conditionalFormatting sqref="F41:H47">
    <cfRule type="expression" dxfId="5396" priority="1248">
      <formula>$E41=""</formula>
    </cfRule>
  </conditionalFormatting>
  <conditionalFormatting sqref="F41:H47">
    <cfRule type="expression" dxfId="5395" priority="1247">
      <formula>$C41&lt;$E$3</formula>
    </cfRule>
  </conditionalFormatting>
  <conditionalFormatting sqref="F41:H47">
    <cfRule type="expression" dxfId="5394" priority="1246">
      <formula>$E41=""</formula>
    </cfRule>
  </conditionalFormatting>
  <conditionalFormatting sqref="F41:H47">
    <cfRule type="expression" dxfId="5393" priority="1245">
      <formula>$E41=""</formula>
    </cfRule>
  </conditionalFormatting>
  <conditionalFormatting sqref="F41:H47">
    <cfRule type="expression" dxfId="5392" priority="1244">
      <formula>$C41&lt;$E$3</formula>
    </cfRule>
  </conditionalFormatting>
  <conditionalFormatting sqref="F41:H47">
    <cfRule type="expression" dxfId="5391" priority="1243">
      <formula>$E41=""</formula>
    </cfRule>
  </conditionalFormatting>
  <conditionalFormatting sqref="F41:H47">
    <cfRule type="expression" dxfId="5390" priority="1242">
      <formula>$C41&lt;$E$3</formula>
    </cfRule>
  </conditionalFormatting>
  <conditionalFormatting sqref="F41:H47">
    <cfRule type="expression" dxfId="5389" priority="1241">
      <formula>$E41=""</formula>
    </cfRule>
  </conditionalFormatting>
  <conditionalFormatting sqref="F41:H47">
    <cfRule type="expression" dxfId="5388" priority="1240">
      <formula>$C41&lt;$E$3</formula>
    </cfRule>
  </conditionalFormatting>
  <conditionalFormatting sqref="F41:H47">
    <cfRule type="expression" dxfId="5387" priority="1239">
      <formula>$E41=""</formula>
    </cfRule>
  </conditionalFormatting>
  <conditionalFormatting sqref="F50:H51">
    <cfRule type="cellIs" dxfId="5386" priority="1238" stopIfTrue="1" operator="lessThan">
      <formula>0</formula>
    </cfRule>
  </conditionalFormatting>
  <conditionalFormatting sqref="F50:H51">
    <cfRule type="expression" dxfId="5385" priority="1237">
      <formula>$C50&lt;$E$3</formula>
    </cfRule>
  </conditionalFormatting>
  <conditionalFormatting sqref="F50:H51">
    <cfRule type="expression" dxfId="5384" priority="1233">
      <formula>$C50=$E$3</formula>
    </cfRule>
    <cfRule type="expression" dxfId="5383" priority="1234">
      <formula>$C50&lt;$E$3</formula>
    </cfRule>
    <cfRule type="cellIs" dxfId="5382" priority="1235" operator="equal">
      <formula>0</formula>
    </cfRule>
    <cfRule type="expression" dxfId="5381" priority="1236">
      <formula>$C50&gt;$E$3</formula>
    </cfRule>
  </conditionalFormatting>
  <conditionalFormatting sqref="F50:H51">
    <cfRule type="expression" dxfId="5380" priority="1232">
      <formula>$C50&lt;$E$3</formula>
    </cfRule>
  </conditionalFormatting>
  <conditionalFormatting sqref="F50:H51">
    <cfRule type="expression" dxfId="5379" priority="1228">
      <formula>$C50=$E$3</formula>
    </cfRule>
    <cfRule type="expression" dxfId="5378" priority="1229">
      <formula>$C50&lt;$E$3</formula>
    </cfRule>
    <cfRule type="cellIs" dxfId="5377" priority="1230" operator="equal">
      <formula>0</formula>
    </cfRule>
    <cfRule type="expression" dxfId="5376" priority="1231">
      <formula>$C50&gt;$E$3</formula>
    </cfRule>
  </conditionalFormatting>
  <conditionalFormatting sqref="F50:H51">
    <cfRule type="expression" dxfId="5375" priority="1227">
      <formula>$C50&lt;$E$3</formula>
    </cfRule>
  </conditionalFormatting>
  <conditionalFormatting sqref="F50:H51">
    <cfRule type="expression" dxfId="5374" priority="1223">
      <formula>$C50=$E$3</formula>
    </cfRule>
    <cfRule type="expression" dxfId="5373" priority="1224">
      <formula>$C50&lt;$E$3</formula>
    </cfRule>
    <cfRule type="cellIs" dxfId="5372" priority="1225" operator="equal">
      <formula>0</formula>
    </cfRule>
    <cfRule type="expression" dxfId="5371" priority="1226">
      <formula>$C50&gt;$E$3</formula>
    </cfRule>
  </conditionalFormatting>
  <conditionalFormatting sqref="F50:H51">
    <cfRule type="expression" dxfId="5370" priority="1222">
      <formula>$C50&lt;$E$3</formula>
    </cfRule>
  </conditionalFormatting>
  <conditionalFormatting sqref="F50:H51">
    <cfRule type="expression" dxfId="5369" priority="1218">
      <formula>$C50=$E$3</formula>
    </cfRule>
    <cfRule type="expression" dxfId="5368" priority="1219">
      <formula>$C50&lt;$E$3</formula>
    </cfRule>
    <cfRule type="cellIs" dxfId="5367" priority="1220" operator="equal">
      <formula>0</formula>
    </cfRule>
    <cfRule type="expression" dxfId="5366" priority="1221">
      <formula>$C50&gt;$E$3</formula>
    </cfRule>
  </conditionalFormatting>
  <conditionalFormatting sqref="F50:H51">
    <cfRule type="expression" dxfId="5365" priority="1217">
      <formula>$E50=""</formula>
    </cfRule>
  </conditionalFormatting>
  <conditionalFormatting sqref="F50:H51">
    <cfRule type="expression" dxfId="5364" priority="1216">
      <formula>$C50&lt;$E$3</formula>
    </cfRule>
  </conditionalFormatting>
  <conditionalFormatting sqref="F50:H51">
    <cfRule type="expression" dxfId="5363" priority="1215">
      <formula>$E50=""</formula>
    </cfRule>
  </conditionalFormatting>
  <conditionalFormatting sqref="F50:H51">
    <cfRule type="expression" dxfId="5362" priority="1214">
      <formula>$E50=""</formula>
    </cfRule>
  </conditionalFormatting>
  <conditionalFormatting sqref="F50:H51">
    <cfRule type="expression" dxfId="5361" priority="1213">
      <formula>$C50&lt;$E$3</formula>
    </cfRule>
  </conditionalFormatting>
  <conditionalFormatting sqref="F50:H51">
    <cfRule type="expression" dxfId="5360" priority="1212">
      <formula>$E50=""</formula>
    </cfRule>
  </conditionalFormatting>
  <conditionalFormatting sqref="F50:H51">
    <cfRule type="expression" dxfId="5359" priority="1211">
      <formula>$C50&lt;$E$3</formula>
    </cfRule>
  </conditionalFormatting>
  <conditionalFormatting sqref="F50:H51">
    <cfRule type="expression" dxfId="5358" priority="1210">
      <formula>$E50=""</formula>
    </cfRule>
  </conditionalFormatting>
  <conditionalFormatting sqref="F50:H51">
    <cfRule type="expression" dxfId="5357" priority="1209">
      <formula>$C50&lt;$E$3</formula>
    </cfRule>
  </conditionalFormatting>
  <conditionalFormatting sqref="F50:H51">
    <cfRule type="expression" dxfId="5356" priority="1208">
      <formula>$E50=""</formula>
    </cfRule>
  </conditionalFormatting>
  <conditionalFormatting sqref="E14:E20 E5:E11 E41:E47 E32:E38 E23:E29 E50:E51">
    <cfRule type="containsText" dxfId="5355" priority="1201" operator="containsText" text="Sa">
      <formula>NOT(ISERROR(SEARCH("Sa",E5)))</formula>
    </cfRule>
    <cfRule type="containsText" dxfId="5354" priority="1203" operator="containsText" text="Fr">
      <formula>NOT(ISERROR(SEARCH("Fr",E5)))</formula>
    </cfRule>
    <cfRule type="containsText" dxfId="5353" priority="1204" operator="containsText" text="Th">
      <formula>NOT(ISERROR(SEARCH("Th",E5)))</formula>
    </cfRule>
  </conditionalFormatting>
  <conditionalFormatting sqref="E14:E20 E5:E11 E41:E47 E32:E38 E23:E29 E50:E51">
    <cfRule type="containsText" dxfId="5352" priority="1205" operator="containsText" text="Wed">
      <formula>NOT(ISERROR(SEARCH("Wed",E5)))</formula>
    </cfRule>
    <cfRule type="containsText" dxfId="5351" priority="1206" operator="containsText" text="Tu">
      <formula>NOT(ISERROR(SEARCH("Tu",E5)))</formula>
    </cfRule>
    <cfRule type="beginsWith" dxfId="5350" priority="1207" operator="beginsWith" text="M">
      <formula>LEFT(E5,1)="M"</formula>
    </cfRule>
  </conditionalFormatting>
  <conditionalFormatting sqref="E14:E20 E5:E11 E41:E47 E32:E38 E23:E29 E50:E51">
    <cfRule type="containsText" dxfId="5349" priority="1202" operator="containsText" text="Su">
      <formula>NOT(ISERROR(SEARCH("Su",E5)))</formula>
    </cfRule>
  </conditionalFormatting>
  <conditionalFormatting sqref="C4">
    <cfRule type="cellIs" dxfId="5348" priority="1197" stopIfTrue="1" operator="notBetween">
      <formula>$B$2</formula>
      <formula>$B$3</formula>
    </cfRule>
  </conditionalFormatting>
  <conditionalFormatting sqref="C4">
    <cfRule type="cellIs" dxfId="5347" priority="1198" operator="greaterThan">
      <formula>$E$3</formula>
    </cfRule>
    <cfRule type="cellIs" dxfId="5346" priority="1199" operator="equal">
      <formula>$E$3</formula>
    </cfRule>
    <cfRule type="cellIs" dxfId="5345" priority="1200" operator="lessThan">
      <formula>$E$3</formula>
    </cfRule>
  </conditionalFormatting>
  <conditionalFormatting sqref="J23:J29 J14:J20 J5:J11 J50:J51 L5:N11 L14:M20 L23:M29 J41:J47 L50:N51 J32:J38 L32:M38 N15:N16 N18 L41:N47">
    <cfRule type="cellIs" dxfId="5344" priority="1196" stopIfTrue="1" operator="lessThan">
      <formula>0</formula>
    </cfRule>
  </conditionalFormatting>
  <conditionalFormatting sqref="J5:J11 J50:J51 L5:M11 L50:M51 J14:J20 J23:J29 J41:J47 J32:J38 L14:M20 L23:M29 L32:M38 L41:M47">
    <cfRule type="expression" dxfId="5343" priority="1194">
      <formula>$C5&lt;$E$3</formula>
    </cfRule>
  </conditionalFormatting>
  <conditionalFormatting sqref="J5:J11 J50:J51 L5:M11 L50:M51 J14:J20 J23:J29 J41:J47 J32:J38 L14:M20 L23:M29 L32:M38 L41:M47">
    <cfRule type="expression" dxfId="5342" priority="1191">
      <formula>$C5=$E$3</formula>
    </cfRule>
    <cfRule type="expression" dxfId="5341" priority="1192">
      <formula>$C5&lt;$E$3</formula>
    </cfRule>
    <cfRule type="cellIs" dxfId="5340" priority="1193" operator="equal">
      <formula>0</formula>
    </cfRule>
    <cfRule type="expression" dxfId="5339" priority="1195">
      <formula>$C5&gt;$E$3</formula>
    </cfRule>
  </conditionalFormatting>
  <conditionalFormatting sqref="J5:J11 J50:J51 L5:M11 L50:M51 J14:J20 J23:J29 J41:J47 J32:J38 L14:M20 L23:M29 L32:M38 L41:M47">
    <cfRule type="expression" dxfId="5338" priority="1190">
      <formula>$E5=""</formula>
    </cfRule>
  </conditionalFormatting>
  <conditionalFormatting sqref="J5:J11 J50:J51 L5:M11 L50:M51 J23:J29 J41:J47 J32:J38 J14:J20 L14:M20 L23:M29 L32:M38 L41:M47">
    <cfRule type="expression" dxfId="5337" priority="1189">
      <formula>$E5=""</formula>
    </cfRule>
  </conditionalFormatting>
  <conditionalFormatting sqref="J5:J11 J50:J51 L5:M11 L50:M51 J23:J29 J41:J47 J32:J38 J14:J20 L14:M20 L23:M29 L32:M38 L41:M47">
    <cfRule type="expression" dxfId="5336" priority="1188">
      <formula>$E5=""</formula>
    </cfRule>
  </conditionalFormatting>
  <conditionalFormatting sqref="M5:M11 M14:M20 M23:M29 M32:M38 M41:M47 M50:M51">
    <cfRule type="expression" dxfId="5335" priority="1187">
      <formula>$C5&lt;$E$3</formula>
    </cfRule>
  </conditionalFormatting>
  <conditionalFormatting sqref="M5:M11 M14:M20 M23:M29 M32:M38 M41:M47 M50:M51">
    <cfRule type="expression" dxfId="5334" priority="1183">
      <formula>$C5=$E$3</formula>
    </cfRule>
    <cfRule type="expression" dxfId="5333" priority="1184">
      <formula>$C5&lt;$E$3</formula>
    </cfRule>
    <cfRule type="cellIs" dxfId="5332" priority="1185" operator="equal">
      <formula>0</formula>
    </cfRule>
    <cfRule type="expression" dxfId="5331" priority="1186">
      <formula>$C5&gt;$E$3</formula>
    </cfRule>
  </conditionalFormatting>
  <conditionalFormatting sqref="M5:M11 M14:M20 M23:M29 M32:M38 M41:M47 M50:M51">
    <cfRule type="expression" dxfId="5330" priority="1182">
      <formula>$C5&lt;$E$3</formula>
    </cfRule>
  </conditionalFormatting>
  <conditionalFormatting sqref="M5:M11 M14:M20 M23:M29 M32:M38 M41:M47 M50:M51">
    <cfRule type="expression" dxfId="5329" priority="1178">
      <formula>$C5=$E$3</formula>
    </cfRule>
    <cfRule type="expression" dxfId="5328" priority="1179">
      <formula>$C5&lt;$E$3</formula>
    </cfRule>
    <cfRule type="cellIs" dxfId="5327" priority="1180" operator="equal">
      <formula>0</formula>
    </cfRule>
    <cfRule type="expression" dxfId="5326" priority="1181">
      <formula>$C5&gt;$E$3</formula>
    </cfRule>
  </conditionalFormatting>
  <conditionalFormatting sqref="M5:M11 M14:M20 M23:M29 M32:M38 M41:M47 M50:M51">
    <cfRule type="expression" dxfId="5325" priority="1177">
      <formula>$C5&lt;$E$3</formula>
    </cfRule>
  </conditionalFormatting>
  <conditionalFormatting sqref="M5:M11 M14:M20 M23:M29 M32:M38 M41:M47 M50:M51">
    <cfRule type="expression" dxfId="5324" priority="1173">
      <formula>$C5=$E$3</formula>
    </cfRule>
    <cfRule type="expression" dxfId="5323" priority="1174">
      <formula>$C5&lt;$E$3</formula>
    </cfRule>
    <cfRule type="cellIs" dxfId="5322" priority="1175" operator="equal">
      <formula>0</formula>
    </cfRule>
    <cfRule type="expression" dxfId="5321" priority="1176">
      <formula>$C5&gt;$E$3</formula>
    </cfRule>
  </conditionalFormatting>
  <conditionalFormatting sqref="M5:M11 M14:M20 M23:M29 M32:M38 M41:M47 M50:M51">
    <cfRule type="expression" dxfId="5320" priority="1172">
      <formula>$C5&lt;$E$3</formula>
    </cfRule>
  </conditionalFormatting>
  <conditionalFormatting sqref="M5:M11 M14:M20 M23:M29 M32:M38 M41:M47 M50:M51">
    <cfRule type="expression" dxfId="5319" priority="1168">
      <formula>$C5=$E$3</formula>
    </cfRule>
    <cfRule type="expression" dxfId="5318" priority="1169">
      <formula>$C5&lt;$E$3</formula>
    </cfRule>
    <cfRule type="cellIs" dxfId="5317" priority="1170" operator="equal">
      <formula>0</formula>
    </cfRule>
    <cfRule type="expression" dxfId="5316" priority="1171">
      <formula>$C5&gt;$E$3</formula>
    </cfRule>
  </conditionalFormatting>
  <conditionalFormatting sqref="M5:M11 M14:M20 M23:M29 M32:M38 M41:M47 M50:M51">
    <cfRule type="expression" dxfId="5315" priority="1167">
      <formula>$E5=""</formula>
    </cfRule>
  </conditionalFormatting>
  <conditionalFormatting sqref="M5:M11 M14:M20 M23:M29 M32:M38 M41:M47 M50:M51">
    <cfRule type="expression" dxfId="5314" priority="1166">
      <formula>$C5&lt;$E$3</formula>
    </cfRule>
  </conditionalFormatting>
  <conditionalFormatting sqref="M5:M11 M14:M20 M23:M29 M32:M38 M41:M47 M50:M51">
    <cfRule type="expression" dxfId="5313" priority="1165">
      <formula>$E5=""</formula>
    </cfRule>
  </conditionalFormatting>
  <conditionalFormatting sqref="M5:M11 M23:M29 M32:M38 M41:M47 M50:M51 M14:M20">
    <cfRule type="expression" dxfId="5312" priority="1164">
      <formula>$E5=""</formula>
    </cfRule>
  </conditionalFormatting>
  <conditionalFormatting sqref="M5:M11 M14:M20 M23:M29 M32:M38 M41:M47 M50:M51">
    <cfRule type="expression" dxfId="5311" priority="1163">
      <formula>$C5&lt;$E$3</formula>
    </cfRule>
  </conditionalFormatting>
  <conditionalFormatting sqref="M5:M11 M14:M20 M23:M29 M32:M38 M41:M47 M50:M51">
    <cfRule type="expression" dxfId="5310" priority="1162">
      <formula>$E5=""</formula>
    </cfRule>
  </conditionalFormatting>
  <conditionalFormatting sqref="M5:M11 M14:M20 M23:M29 M32:M38 M41:M47 M50:M51">
    <cfRule type="expression" dxfId="5309" priority="1161">
      <formula>$C5&lt;$E$3</formula>
    </cfRule>
  </conditionalFormatting>
  <conditionalFormatting sqref="M5:M11 M14:M20 M23:M29 M32:M38 M41:M47 M50:M51">
    <cfRule type="expression" dxfId="5308" priority="1160">
      <formula>$E5=""</formula>
    </cfRule>
  </conditionalFormatting>
  <conditionalFormatting sqref="M5:M11 M14:M20 M23:M29 M32:M38 M41:M47 M50:M51">
    <cfRule type="expression" dxfId="5307" priority="1159">
      <formula>$C5&lt;$E$3</formula>
    </cfRule>
  </conditionalFormatting>
  <conditionalFormatting sqref="M5:M11 M14:M20 M23:M29 M32:M38 M41:M47 M50:M51">
    <cfRule type="expression" dxfId="5306" priority="1158">
      <formula>$E5=""</formula>
    </cfRule>
  </conditionalFormatting>
  <conditionalFormatting sqref="M5:M11 M14:M20 M23:M29 M32:M38 M41:M47 M50:M51">
    <cfRule type="expression" dxfId="5305" priority="1157">
      <formula>$C5&lt;$E$3</formula>
    </cfRule>
  </conditionalFormatting>
  <conditionalFormatting sqref="M5:M11 M14:M20 M23:M29 M32:M38 M41:M47 M50:M51">
    <cfRule type="expression" dxfId="5304" priority="1153">
      <formula>$C5=$E$3</formula>
    </cfRule>
    <cfRule type="expression" dxfId="5303" priority="1154">
      <formula>$C5&lt;$E$3</formula>
    </cfRule>
    <cfRule type="cellIs" dxfId="5302" priority="1155" operator="equal">
      <formula>0</formula>
    </cfRule>
    <cfRule type="expression" dxfId="5301" priority="1156">
      <formula>$C5&gt;$E$3</formula>
    </cfRule>
  </conditionalFormatting>
  <conditionalFormatting sqref="M5:M11 M14:M20 M23:M29 M32:M38 M41:M47 M50:M51">
    <cfRule type="expression" dxfId="5300" priority="1152">
      <formula>$C5&lt;$E$3</formula>
    </cfRule>
  </conditionalFormatting>
  <conditionalFormatting sqref="M5:M11 M14:M20 M23:M29 M32:M38 M41:M47 M50:M51">
    <cfRule type="expression" dxfId="5299" priority="1148">
      <formula>$C5=$E$3</formula>
    </cfRule>
    <cfRule type="expression" dxfId="5298" priority="1149">
      <formula>$C5&lt;$E$3</formula>
    </cfRule>
    <cfRule type="cellIs" dxfId="5297" priority="1150" operator="equal">
      <formula>0</formula>
    </cfRule>
    <cfRule type="expression" dxfId="5296" priority="1151">
      <formula>$C5&gt;$E$3</formula>
    </cfRule>
  </conditionalFormatting>
  <conditionalFormatting sqref="M5:M11 M14:M20 M23:M29 M32:M38 M41:M47 M50:M51">
    <cfRule type="expression" dxfId="5295" priority="1147">
      <formula>$C5&lt;$E$3</formula>
    </cfRule>
  </conditionalFormatting>
  <conditionalFormatting sqref="M5:M11 M14:M20 M23:M29 M32:M38 M41:M47 M50:M51">
    <cfRule type="expression" dxfId="5294" priority="1143">
      <formula>$C5=$E$3</formula>
    </cfRule>
    <cfRule type="expression" dxfId="5293" priority="1144">
      <formula>$C5&lt;$E$3</formula>
    </cfRule>
    <cfRule type="cellIs" dxfId="5292" priority="1145" operator="equal">
      <formula>0</formula>
    </cfRule>
    <cfRule type="expression" dxfId="5291" priority="1146">
      <formula>$C5&gt;$E$3</formula>
    </cfRule>
  </conditionalFormatting>
  <conditionalFormatting sqref="M5:M11 M14:M20 M23:M29 M32:M38 M41:M47 M50:M51">
    <cfRule type="expression" dxfId="5290" priority="1142">
      <formula>$C5&lt;$E$3</formula>
    </cfRule>
  </conditionalFormatting>
  <conditionalFormatting sqref="M5:M11 M14:M20 M23:M29 M32:M38 M41:M47 M50:M51">
    <cfRule type="expression" dxfId="5289" priority="1138">
      <formula>$C5=$E$3</formula>
    </cfRule>
    <cfRule type="expression" dxfId="5288" priority="1139">
      <formula>$C5&lt;$E$3</formula>
    </cfRule>
    <cfRule type="cellIs" dxfId="5287" priority="1140" operator="equal">
      <formula>0</formula>
    </cfRule>
    <cfRule type="expression" dxfId="5286" priority="1141">
      <formula>$C5&gt;$E$3</formula>
    </cfRule>
  </conditionalFormatting>
  <conditionalFormatting sqref="M5:M11 M14:M20 M23:M29 M32:M38 M41:M47 M50:M51">
    <cfRule type="expression" dxfId="5285" priority="1137">
      <formula>$E5=""</formula>
    </cfRule>
  </conditionalFormatting>
  <conditionalFormatting sqref="M5:M11 M14:M20 M23:M29 M32:M38 M41:M47 M50:M51">
    <cfRule type="expression" dxfId="5284" priority="1136">
      <formula>$C5&lt;$E$3</formula>
    </cfRule>
  </conditionalFormatting>
  <conditionalFormatting sqref="M5:M11 M14:M20 M23:M29 M32:M38 M41:M47 M50:M51">
    <cfRule type="expression" dxfId="5283" priority="1135">
      <formula>$E5=""</formula>
    </cfRule>
  </conditionalFormatting>
  <conditionalFormatting sqref="M5:M11 M23:M29 M32:M38 M41:M47 M50:M51 M14:M20">
    <cfRule type="expression" dxfId="5282" priority="1134">
      <formula>$E5=""</formula>
    </cfRule>
  </conditionalFormatting>
  <conditionalFormatting sqref="M5:M11 M14:M20 M23:M29 M32:M38 M41:M47 M50:M51">
    <cfRule type="expression" dxfId="5281" priority="1133">
      <formula>$C5&lt;$E$3</formula>
    </cfRule>
  </conditionalFormatting>
  <conditionalFormatting sqref="M5:M11 M14:M20 M23:M29 M32:M38 M41:M47 M50:M51">
    <cfRule type="expression" dxfId="5280" priority="1132">
      <formula>$E5=""</formula>
    </cfRule>
  </conditionalFormatting>
  <conditionalFormatting sqref="M5:M11 M14:M20 M23:M29 M32:M38 M41:M47 M50:M51">
    <cfRule type="expression" dxfId="5279" priority="1131">
      <formula>$C5&lt;$E$3</formula>
    </cfRule>
  </conditionalFormatting>
  <conditionalFormatting sqref="M5:M11 M14:M20 M23:M29 M32:M38 M41:M47 M50:M51">
    <cfRule type="expression" dxfId="5278" priority="1130">
      <formula>$E5=""</formula>
    </cfRule>
  </conditionalFormatting>
  <conditionalFormatting sqref="M5:M11 M14:M20 M23:M29 M32:M38 M41:M47 M50:M51">
    <cfRule type="expression" dxfId="5277" priority="1129">
      <formula>$C5&lt;$E$3</formula>
    </cfRule>
  </conditionalFormatting>
  <conditionalFormatting sqref="M5:M11 M14:M20 M23:M29 M32:M38 M41:M47 M50:M51">
    <cfRule type="expression" dxfId="5276" priority="1128">
      <formula>$E5=""</formula>
    </cfRule>
  </conditionalFormatting>
  <conditionalFormatting sqref="K37">
    <cfRule type="expression" dxfId="5275" priority="335">
      <formula>$C37&lt;$E$3</formula>
    </cfRule>
  </conditionalFormatting>
  <conditionalFormatting sqref="K37">
    <cfRule type="expression" dxfId="5274" priority="331">
      <formula>$C37=$E$3</formula>
    </cfRule>
    <cfRule type="expression" dxfId="5273" priority="332">
      <formula>$C37&lt;$E$3</formula>
    </cfRule>
    <cfRule type="cellIs" dxfId="5272" priority="333" operator="equal">
      <formula>0</formula>
    </cfRule>
    <cfRule type="expression" dxfId="5271" priority="334">
      <formula>$C37&gt;$E$3</formula>
    </cfRule>
  </conditionalFormatting>
  <conditionalFormatting sqref="K37">
    <cfRule type="expression" dxfId="5270" priority="330">
      <formula>$C37&lt;$E$3</formula>
    </cfRule>
  </conditionalFormatting>
  <conditionalFormatting sqref="K37">
    <cfRule type="expression" dxfId="5269" priority="326">
      <formula>$C37=$E$3</formula>
    </cfRule>
    <cfRule type="expression" dxfId="5268" priority="327">
      <formula>$C37&lt;$E$3</formula>
    </cfRule>
    <cfRule type="cellIs" dxfId="5267" priority="328" operator="equal">
      <formula>0</formula>
    </cfRule>
    <cfRule type="expression" dxfId="5266" priority="329">
      <formula>$C37&gt;$E$3</formula>
    </cfRule>
  </conditionalFormatting>
  <conditionalFormatting sqref="K37">
    <cfRule type="expression" dxfId="5265" priority="305">
      <formula>$C37&lt;$E$3</formula>
    </cfRule>
  </conditionalFormatting>
  <conditionalFormatting sqref="K37">
    <cfRule type="expression" dxfId="5264" priority="301">
      <formula>$C37=$E$3</formula>
    </cfRule>
    <cfRule type="expression" dxfId="5263" priority="302">
      <formula>$C37&lt;$E$3</formula>
    </cfRule>
    <cfRule type="cellIs" dxfId="5262" priority="303" operator="equal">
      <formula>0</formula>
    </cfRule>
    <cfRule type="expression" dxfId="5261" priority="304">
      <formula>$C37&gt;$E$3</formula>
    </cfRule>
  </conditionalFormatting>
  <conditionalFormatting sqref="K37">
    <cfRule type="expression" dxfId="5260" priority="300">
      <formula>$C37&lt;$E$3</formula>
    </cfRule>
  </conditionalFormatting>
  <conditionalFormatting sqref="K37">
    <cfRule type="expression" dxfId="5259" priority="296">
      <formula>$C37=$E$3</formula>
    </cfRule>
    <cfRule type="expression" dxfId="5258" priority="297">
      <formula>$C37&lt;$E$3</formula>
    </cfRule>
    <cfRule type="cellIs" dxfId="5257" priority="298" operator="equal">
      <formula>0</formula>
    </cfRule>
    <cfRule type="expression" dxfId="5256" priority="299">
      <formula>$C37&gt;$E$3</formula>
    </cfRule>
  </conditionalFormatting>
  <conditionalFormatting sqref="K32:K36">
    <cfRule type="expression" dxfId="5255" priority="275">
      <formula>$C32&lt;$E$3</formula>
    </cfRule>
  </conditionalFormatting>
  <conditionalFormatting sqref="K32:K36">
    <cfRule type="expression" dxfId="5254" priority="271">
      <formula>$C32=$E$3</formula>
    </cfRule>
    <cfRule type="expression" dxfId="5253" priority="272">
      <formula>$C32&lt;$E$3</formula>
    </cfRule>
    <cfRule type="cellIs" dxfId="5252" priority="273" operator="equal">
      <formula>0</formula>
    </cfRule>
    <cfRule type="expression" dxfId="5251" priority="274">
      <formula>$C32&gt;$E$3</formula>
    </cfRule>
  </conditionalFormatting>
  <conditionalFormatting sqref="K32:K36">
    <cfRule type="expression" dxfId="5250" priority="270">
      <formula>$C32&lt;$E$3</formula>
    </cfRule>
  </conditionalFormatting>
  <conditionalFormatting sqref="K32:K36">
    <cfRule type="expression" dxfId="5249" priority="266">
      <formula>$C32=$E$3</formula>
    </cfRule>
    <cfRule type="expression" dxfId="5248" priority="267">
      <formula>$C32&lt;$E$3</formula>
    </cfRule>
    <cfRule type="cellIs" dxfId="5247" priority="268" operator="equal">
      <formula>0</formula>
    </cfRule>
    <cfRule type="expression" dxfId="5246" priority="269">
      <formula>$C32&gt;$E$3</formula>
    </cfRule>
  </conditionalFormatting>
  <conditionalFormatting sqref="H23:H29 H32 H14:H20 H11">
    <cfRule type="cellIs" dxfId="5245" priority="1007" stopIfTrue="1" operator="lessThan">
      <formula>0</formula>
    </cfRule>
  </conditionalFormatting>
  <conditionalFormatting sqref="H12">
    <cfRule type="expression" dxfId="5244" priority="1006">
      <formula>$F12&gt;=$F13</formula>
    </cfRule>
  </conditionalFormatting>
  <conditionalFormatting sqref="H21">
    <cfRule type="expression" dxfId="5243" priority="1005">
      <formula>$F21&gt;=$F22</formula>
    </cfRule>
  </conditionalFormatting>
  <conditionalFormatting sqref="H30">
    <cfRule type="expression" dxfId="5242" priority="1004">
      <formula>$F30&gt;=$F31</formula>
    </cfRule>
  </conditionalFormatting>
  <conditionalFormatting sqref="H12">
    <cfRule type="expression" dxfId="5241" priority="1003">
      <formula>$F12&gt;=$F13</formula>
    </cfRule>
  </conditionalFormatting>
  <conditionalFormatting sqref="H21">
    <cfRule type="expression" dxfId="5240" priority="1002">
      <formula>$F21&gt;=$F22</formula>
    </cfRule>
  </conditionalFormatting>
  <conditionalFormatting sqref="H30">
    <cfRule type="expression" dxfId="5239" priority="1001">
      <formula>$F30&gt;=$F31</formula>
    </cfRule>
  </conditionalFormatting>
  <conditionalFormatting sqref="H11">
    <cfRule type="expression" dxfId="5238" priority="999">
      <formula>$C11&lt;$E$3</formula>
    </cfRule>
  </conditionalFormatting>
  <conditionalFormatting sqref="H11">
    <cfRule type="expression" dxfId="5237" priority="996">
      <formula>$C11=$E$3</formula>
    </cfRule>
    <cfRule type="expression" dxfId="5236" priority="997">
      <formula>$C11&lt;$E$3</formula>
    </cfRule>
    <cfRule type="cellIs" dxfId="5235" priority="998" operator="equal">
      <formula>0</formula>
    </cfRule>
    <cfRule type="expression" dxfId="5234" priority="1000">
      <formula>$C11&gt;$E$3</formula>
    </cfRule>
  </conditionalFormatting>
  <conditionalFormatting sqref="H11">
    <cfRule type="expression" dxfId="5233" priority="995">
      <formula>$C11&lt;$E$3</formula>
    </cfRule>
  </conditionalFormatting>
  <conditionalFormatting sqref="H11">
    <cfRule type="expression" dxfId="5232" priority="991">
      <formula>$C11=$E$3</formula>
    </cfRule>
    <cfRule type="expression" dxfId="5231" priority="992">
      <formula>$C11&lt;$E$3</formula>
    </cfRule>
    <cfRule type="cellIs" dxfId="5230" priority="993" operator="equal">
      <formula>0</formula>
    </cfRule>
    <cfRule type="expression" dxfId="5229" priority="994">
      <formula>$C11&gt;$E$3</formula>
    </cfRule>
  </conditionalFormatting>
  <conditionalFormatting sqref="H11">
    <cfRule type="expression" dxfId="5228" priority="990">
      <formula>$C11&lt;$E$3</formula>
    </cfRule>
  </conditionalFormatting>
  <conditionalFormatting sqref="H11">
    <cfRule type="expression" dxfId="5227" priority="986">
      <formula>$C11=$E$3</formula>
    </cfRule>
    <cfRule type="expression" dxfId="5226" priority="987">
      <formula>$C11&lt;$E$3</formula>
    </cfRule>
    <cfRule type="cellIs" dxfId="5225" priority="988" operator="equal">
      <formula>0</formula>
    </cfRule>
    <cfRule type="expression" dxfId="5224" priority="989">
      <formula>$C11&gt;$E$3</formula>
    </cfRule>
  </conditionalFormatting>
  <conditionalFormatting sqref="H11">
    <cfRule type="expression" dxfId="5223" priority="985">
      <formula>$C11&lt;$E$3</formula>
    </cfRule>
  </conditionalFormatting>
  <conditionalFormatting sqref="H11">
    <cfRule type="expression" dxfId="5222" priority="981">
      <formula>$C11=$E$3</formula>
    </cfRule>
    <cfRule type="expression" dxfId="5221" priority="982">
      <formula>$C11&lt;$E$3</formula>
    </cfRule>
    <cfRule type="cellIs" dxfId="5220" priority="983" operator="equal">
      <formula>0</formula>
    </cfRule>
    <cfRule type="expression" dxfId="5219" priority="984">
      <formula>$C11&gt;$E$3</formula>
    </cfRule>
  </conditionalFormatting>
  <conditionalFormatting sqref="H11">
    <cfRule type="expression" dxfId="5218" priority="980">
      <formula>$E11=""</formula>
    </cfRule>
  </conditionalFormatting>
  <conditionalFormatting sqref="H11">
    <cfRule type="expression" dxfId="5217" priority="979">
      <formula>$C11&lt;$E$3</formula>
    </cfRule>
  </conditionalFormatting>
  <conditionalFormatting sqref="H11">
    <cfRule type="expression" dxfId="5216" priority="978">
      <formula>$E11=""</formula>
    </cfRule>
  </conditionalFormatting>
  <conditionalFormatting sqref="H11">
    <cfRule type="expression" dxfId="5215" priority="977">
      <formula>$E11=""</formula>
    </cfRule>
  </conditionalFormatting>
  <conditionalFormatting sqref="H11">
    <cfRule type="expression" dxfId="5214" priority="976">
      <formula>$C11&lt;$E$3</formula>
    </cfRule>
  </conditionalFormatting>
  <conditionalFormatting sqref="H11">
    <cfRule type="expression" dxfId="5213" priority="975">
      <formula>$E11=""</formula>
    </cfRule>
  </conditionalFormatting>
  <conditionalFormatting sqref="H11">
    <cfRule type="expression" dxfId="5212" priority="974">
      <formula>$C11&lt;$E$3</formula>
    </cfRule>
  </conditionalFormatting>
  <conditionalFormatting sqref="H11">
    <cfRule type="expression" dxfId="5211" priority="973">
      <formula>$E11=""</formula>
    </cfRule>
  </conditionalFormatting>
  <conditionalFormatting sqref="H11">
    <cfRule type="expression" dxfId="5210" priority="972">
      <formula>$C11&lt;$E$3</formula>
    </cfRule>
  </conditionalFormatting>
  <conditionalFormatting sqref="H11">
    <cfRule type="expression" dxfId="5209" priority="971">
      <formula>$E11=""</formula>
    </cfRule>
  </conditionalFormatting>
  <conditionalFormatting sqref="H14:H20">
    <cfRule type="expression" dxfId="5208" priority="969">
      <formula>$C14&lt;$E$3</formula>
    </cfRule>
  </conditionalFormatting>
  <conditionalFormatting sqref="H14:H20">
    <cfRule type="expression" dxfId="5207" priority="966">
      <formula>$C14=$E$3</formula>
    </cfRule>
    <cfRule type="expression" dxfId="5206" priority="967">
      <formula>$C14&lt;$E$3</formula>
    </cfRule>
    <cfRule type="cellIs" dxfId="5205" priority="968" operator="equal">
      <formula>0</formula>
    </cfRule>
    <cfRule type="expression" dxfId="5204" priority="970">
      <formula>$C14&gt;$E$3</formula>
    </cfRule>
  </conditionalFormatting>
  <conditionalFormatting sqref="H14:H20">
    <cfRule type="expression" dxfId="5203" priority="965">
      <formula>$C14&lt;$E$3</formula>
    </cfRule>
  </conditionalFormatting>
  <conditionalFormatting sqref="H14:H20">
    <cfRule type="expression" dxfId="5202" priority="961">
      <formula>$C14=$E$3</formula>
    </cfRule>
    <cfRule type="expression" dxfId="5201" priority="962">
      <formula>$C14&lt;$E$3</formula>
    </cfRule>
    <cfRule type="cellIs" dxfId="5200" priority="963" operator="equal">
      <formula>0</formula>
    </cfRule>
    <cfRule type="expression" dxfId="5199" priority="964">
      <formula>$C14&gt;$E$3</formula>
    </cfRule>
  </conditionalFormatting>
  <conditionalFormatting sqref="H14:H20">
    <cfRule type="expression" dxfId="5198" priority="960">
      <formula>$C14&lt;$E$3</formula>
    </cfRule>
  </conditionalFormatting>
  <conditionalFormatting sqref="H14:H20">
    <cfRule type="expression" dxfId="5197" priority="956">
      <formula>$C14=$E$3</formula>
    </cfRule>
    <cfRule type="expression" dxfId="5196" priority="957">
      <formula>$C14&lt;$E$3</formula>
    </cfRule>
    <cfRule type="cellIs" dxfId="5195" priority="958" operator="equal">
      <formula>0</formula>
    </cfRule>
    <cfRule type="expression" dxfId="5194" priority="959">
      <formula>$C14&gt;$E$3</formula>
    </cfRule>
  </conditionalFormatting>
  <conditionalFormatting sqref="H14:H20">
    <cfRule type="expression" dxfId="5193" priority="955">
      <formula>$C14&lt;$E$3</formula>
    </cfRule>
  </conditionalFormatting>
  <conditionalFormatting sqref="H14:H20">
    <cfRule type="expression" dxfId="5192" priority="951">
      <formula>$C14=$E$3</formula>
    </cfRule>
    <cfRule type="expression" dxfId="5191" priority="952">
      <formula>$C14&lt;$E$3</formula>
    </cfRule>
    <cfRule type="cellIs" dxfId="5190" priority="953" operator="equal">
      <formula>0</formula>
    </cfRule>
    <cfRule type="expression" dxfId="5189" priority="954">
      <formula>$C14&gt;$E$3</formula>
    </cfRule>
  </conditionalFormatting>
  <conditionalFormatting sqref="H14:H20">
    <cfRule type="expression" dxfId="5188" priority="950">
      <formula>$E14=""</formula>
    </cfRule>
  </conditionalFormatting>
  <conditionalFormatting sqref="H14:H20">
    <cfRule type="expression" dxfId="5187" priority="949">
      <formula>$C14&lt;$E$3</formula>
    </cfRule>
  </conditionalFormatting>
  <conditionalFormatting sqref="H14:H20">
    <cfRule type="expression" dxfId="5186" priority="948">
      <formula>$E14=""</formula>
    </cfRule>
  </conditionalFormatting>
  <conditionalFormatting sqref="H14:H20">
    <cfRule type="expression" dxfId="5185" priority="947">
      <formula>$E14=""</formula>
    </cfRule>
  </conditionalFormatting>
  <conditionalFormatting sqref="H14:H20">
    <cfRule type="expression" dxfId="5184" priority="946">
      <formula>$C14&lt;$E$3</formula>
    </cfRule>
  </conditionalFormatting>
  <conditionalFormatting sqref="H14:H20">
    <cfRule type="expression" dxfId="5183" priority="945">
      <formula>$E14=""</formula>
    </cfRule>
  </conditionalFormatting>
  <conditionalFormatting sqref="H14:H20">
    <cfRule type="expression" dxfId="5182" priority="944">
      <formula>$C14&lt;$E$3</formula>
    </cfRule>
  </conditionalFormatting>
  <conditionalFormatting sqref="H14:H20">
    <cfRule type="expression" dxfId="5181" priority="943">
      <formula>$E14=""</formula>
    </cfRule>
  </conditionalFormatting>
  <conditionalFormatting sqref="H14:H20">
    <cfRule type="expression" dxfId="5180" priority="942">
      <formula>$C14&lt;$E$3</formula>
    </cfRule>
  </conditionalFormatting>
  <conditionalFormatting sqref="H14:H20">
    <cfRule type="expression" dxfId="5179" priority="941">
      <formula>$E14=""</formula>
    </cfRule>
  </conditionalFormatting>
  <conditionalFormatting sqref="H23:H29">
    <cfRule type="expression" dxfId="5178" priority="939">
      <formula>$C23&lt;$E$3</formula>
    </cfRule>
  </conditionalFormatting>
  <conditionalFormatting sqref="H23:H29">
    <cfRule type="expression" dxfId="5177" priority="936">
      <formula>$C23=$E$3</formula>
    </cfRule>
    <cfRule type="expression" dxfId="5176" priority="937">
      <formula>$C23&lt;$E$3</formula>
    </cfRule>
    <cfRule type="cellIs" dxfId="5175" priority="938" operator="equal">
      <formula>0</formula>
    </cfRule>
    <cfRule type="expression" dxfId="5174" priority="940">
      <formula>$C23&gt;$E$3</formula>
    </cfRule>
  </conditionalFormatting>
  <conditionalFormatting sqref="H23:H29">
    <cfRule type="expression" dxfId="5173" priority="935">
      <formula>$C23&lt;$E$3</formula>
    </cfRule>
  </conditionalFormatting>
  <conditionalFormatting sqref="H23:H29">
    <cfRule type="expression" dxfId="5172" priority="931">
      <formula>$C23=$E$3</formula>
    </cfRule>
    <cfRule type="expression" dxfId="5171" priority="932">
      <formula>$C23&lt;$E$3</formula>
    </cfRule>
    <cfRule type="cellIs" dxfId="5170" priority="933" operator="equal">
      <formula>0</formula>
    </cfRule>
    <cfRule type="expression" dxfId="5169" priority="934">
      <formula>$C23&gt;$E$3</formula>
    </cfRule>
  </conditionalFormatting>
  <conditionalFormatting sqref="H23:H29">
    <cfRule type="expression" dxfId="5168" priority="930">
      <formula>$C23&lt;$E$3</formula>
    </cfRule>
  </conditionalFormatting>
  <conditionalFormatting sqref="H23:H29">
    <cfRule type="expression" dxfId="5167" priority="926">
      <formula>$C23=$E$3</formula>
    </cfRule>
    <cfRule type="expression" dxfId="5166" priority="927">
      <formula>$C23&lt;$E$3</formula>
    </cfRule>
    <cfRule type="cellIs" dxfId="5165" priority="928" operator="equal">
      <formula>0</formula>
    </cfRule>
    <cfRule type="expression" dxfId="5164" priority="929">
      <formula>$C23&gt;$E$3</formula>
    </cfRule>
  </conditionalFormatting>
  <conditionalFormatting sqref="H23:H29">
    <cfRule type="expression" dxfId="5163" priority="925">
      <formula>$C23&lt;$E$3</formula>
    </cfRule>
  </conditionalFormatting>
  <conditionalFormatting sqref="H23:H29">
    <cfRule type="expression" dxfId="5162" priority="921">
      <formula>$C23=$E$3</formula>
    </cfRule>
    <cfRule type="expression" dxfId="5161" priority="922">
      <formula>$C23&lt;$E$3</formula>
    </cfRule>
    <cfRule type="cellIs" dxfId="5160" priority="923" operator="equal">
      <formula>0</formula>
    </cfRule>
    <cfRule type="expression" dxfId="5159" priority="924">
      <formula>$C23&gt;$E$3</formula>
    </cfRule>
  </conditionalFormatting>
  <conditionalFormatting sqref="H23:H29">
    <cfRule type="expression" dxfId="5158" priority="920">
      <formula>$E23=""</formula>
    </cfRule>
  </conditionalFormatting>
  <conditionalFormatting sqref="H23:H29">
    <cfRule type="expression" dxfId="5157" priority="919">
      <formula>$C23&lt;$E$3</formula>
    </cfRule>
  </conditionalFormatting>
  <conditionalFormatting sqref="H23:H29">
    <cfRule type="expression" dxfId="5156" priority="918">
      <formula>$E23=""</formula>
    </cfRule>
  </conditionalFormatting>
  <conditionalFormatting sqref="H23:H29">
    <cfRule type="expression" dxfId="5155" priority="917">
      <formula>$E23=""</formula>
    </cfRule>
  </conditionalFormatting>
  <conditionalFormatting sqref="H23:H29">
    <cfRule type="expression" dxfId="5154" priority="916">
      <formula>$C23&lt;$E$3</formula>
    </cfRule>
  </conditionalFormatting>
  <conditionalFormatting sqref="H23:H29">
    <cfRule type="expression" dxfId="5153" priority="915">
      <formula>$E23=""</formula>
    </cfRule>
  </conditionalFormatting>
  <conditionalFormatting sqref="H23:H29">
    <cfRule type="expression" dxfId="5152" priority="914">
      <formula>$C23&lt;$E$3</formula>
    </cfRule>
  </conditionalFormatting>
  <conditionalFormatting sqref="H23:H29">
    <cfRule type="expression" dxfId="5151" priority="913">
      <formula>$E23=""</formula>
    </cfRule>
  </conditionalFormatting>
  <conditionalFormatting sqref="H23:H29">
    <cfRule type="expression" dxfId="5150" priority="912">
      <formula>$C23&lt;$E$3</formula>
    </cfRule>
  </conditionalFormatting>
  <conditionalFormatting sqref="H23:H29">
    <cfRule type="expression" dxfId="5149" priority="911">
      <formula>$E23=""</formula>
    </cfRule>
  </conditionalFormatting>
  <conditionalFormatting sqref="H32">
    <cfRule type="expression" dxfId="5148" priority="909">
      <formula>$C32&lt;$E$3</formula>
    </cfRule>
  </conditionalFormatting>
  <conditionalFormatting sqref="H32">
    <cfRule type="expression" dxfId="5147" priority="906">
      <formula>$C32=$E$3</formula>
    </cfRule>
    <cfRule type="expression" dxfId="5146" priority="907">
      <formula>$C32&lt;$E$3</formula>
    </cfRule>
    <cfRule type="cellIs" dxfId="5145" priority="908" operator="equal">
      <formula>0</formula>
    </cfRule>
    <cfRule type="expression" dxfId="5144" priority="910">
      <formula>$C32&gt;$E$3</formula>
    </cfRule>
  </conditionalFormatting>
  <conditionalFormatting sqref="H32">
    <cfRule type="expression" dxfId="5143" priority="905">
      <formula>$C32&lt;$E$3</formula>
    </cfRule>
  </conditionalFormatting>
  <conditionalFormatting sqref="H32">
    <cfRule type="expression" dxfId="5142" priority="901">
      <formula>$C32=$E$3</formula>
    </cfRule>
    <cfRule type="expression" dxfId="5141" priority="902">
      <formula>$C32&lt;$E$3</formula>
    </cfRule>
    <cfRule type="cellIs" dxfId="5140" priority="903" operator="equal">
      <formula>0</formula>
    </cfRule>
    <cfRule type="expression" dxfId="5139" priority="904">
      <formula>$C32&gt;$E$3</formula>
    </cfRule>
  </conditionalFormatting>
  <conditionalFormatting sqref="H32">
    <cfRule type="expression" dxfId="5138" priority="900">
      <formula>$C32&lt;$E$3</formula>
    </cfRule>
  </conditionalFormatting>
  <conditionalFormatting sqref="H32">
    <cfRule type="expression" dxfId="5137" priority="896">
      <formula>$C32=$E$3</formula>
    </cfRule>
    <cfRule type="expression" dxfId="5136" priority="897">
      <formula>$C32&lt;$E$3</formula>
    </cfRule>
    <cfRule type="cellIs" dxfId="5135" priority="898" operator="equal">
      <formula>0</formula>
    </cfRule>
    <cfRule type="expression" dxfId="5134" priority="899">
      <formula>$C32&gt;$E$3</formula>
    </cfRule>
  </conditionalFormatting>
  <conditionalFormatting sqref="H32">
    <cfRule type="expression" dxfId="5133" priority="895">
      <formula>$C32&lt;$E$3</formula>
    </cfRule>
  </conditionalFormatting>
  <conditionalFormatting sqref="H32">
    <cfRule type="expression" dxfId="5132" priority="891">
      <formula>$C32=$E$3</formula>
    </cfRule>
    <cfRule type="expression" dxfId="5131" priority="892">
      <formula>$C32&lt;$E$3</formula>
    </cfRule>
    <cfRule type="cellIs" dxfId="5130" priority="893" operator="equal">
      <formula>0</formula>
    </cfRule>
    <cfRule type="expression" dxfId="5129" priority="894">
      <formula>$C32&gt;$E$3</formula>
    </cfRule>
  </conditionalFormatting>
  <conditionalFormatting sqref="H32">
    <cfRule type="expression" dxfId="5128" priority="890">
      <formula>$E32=""</formula>
    </cfRule>
  </conditionalFormatting>
  <conditionalFormatting sqref="H32">
    <cfRule type="expression" dxfId="5127" priority="889">
      <formula>$C32&lt;$E$3</formula>
    </cfRule>
  </conditionalFormatting>
  <conditionalFormatting sqref="H32">
    <cfRule type="expression" dxfId="5126" priority="888">
      <formula>$E32=""</formula>
    </cfRule>
  </conditionalFormatting>
  <conditionalFormatting sqref="H32">
    <cfRule type="expression" dxfId="5125" priority="887">
      <formula>$E32=""</formula>
    </cfRule>
  </conditionalFormatting>
  <conditionalFormatting sqref="H32">
    <cfRule type="expression" dxfId="5124" priority="886">
      <formula>$C32&lt;$E$3</formula>
    </cfRule>
  </conditionalFormatting>
  <conditionalFormatting sqref="H32">
    <cfRule type="expression" dxfId="5123" priority="885">
      <formula>$E32=""</formula>
    </cfRule>
  </conditionalFormatting>
  <conditionalFormatting sqref="H32">
    <cfRule type="expression" dxfId="5122" priority="884">
      <formula>$C32&lt;$E$3</formula>
    </cfRule>
  </conditionalFormatting>
  <conditionalFormatting sqref="H32">
    <cfRule type="expression" dxfId="5121" priority="883">
      <formula>$E32=""</formula>
    </cfRule>
  </conditionalFormatting>
  <conditionalFormatting sqref="H32">
    <cfRule type="expression" dxfId="5120" priority="882">
      <formula>$C32&lt;$E$3</formula>
    </cfRule>
  </conditionalFormatting>
  <conditionalFormatting sqref="H32">
    <cfRule type="expression" dxfId="5119" priority="881">
      <formula>$E32=""</formula>
    </cfRule>
  </conditionalFormatting>
  <conditionalFormatting sqref="F52:H52">
    <cfRule type="expression" dxfId="5118" priority="1378" stopIfTrue="1">
      <formula>$H$52=-1E-55</formula>
    </cfRule>
    <cfRule type="expression" dxfId="5117" priority="1379">
      <formula>$F52&gt;=$F53</formula>
    </cfRule>
  </conditionalFormatting>
  <conditionalFormatting sqref="K48:K49">
    <cfRule type="cellIs" dxfId="5116" priority="879" stopIfTrue="1" operator="lessThan">
      <formula>0</formula>
    </cfRule>
  </conditionalFormatting>
  <conditionalFormatting sqref="K48:K49">
    <cfRule type="expression" dxfId="5115" priority="878">
      <formula>$C68&lt;$E$3</formula>
    </cfRule>
  </conditionalFormatting>
  <conditionalFormatting sqref="K48:K49">
    <cfRule type="expression" dxfId="5114" priority="874">
      <formula>$C68=$E$3</formula>
    </cfRule>
    <cfRule type="expression" dxfId="5113" priority="875">
      <formula>$C68&lt;$E$3</formula>
    </cfRule>
    <cfRule type="cellIs" dxfId="5112" priority="876" operator="equal">
      <formula>0</formula>
    </cfRule>
    <cfRule type="expression" dxfId="5111" priority="877">
      <formula>$C68&gt;$E$3</formula>
    </cfRule>
  </conditionalFormatting>
  <conditionalFormatting sqref="K48:K49">
    <cfRule type="expression" dxfId="5110" priority="873">
      <formula>$C68&lt;$E$3</formula>
    </cfRule>
  </conditionalFormatting>
  <conditionalFormatting sqref="K48:K49">
    <cfRule type="expression" dxfId="5109" priority="869">
      <formula>$C68=$E$3</formula>
    </cfRule>
    <cfRule type="expression" dxfId="5108" priority="870">
      <formula>$C68&lt;$E$3</formula>
    </cfRule>
    <cfRule type="cellIs" dxfId="5107" priority="871" operator="equal">
      <formula>0</formula>
    </cfRule>
    <cfRule type="expression" dxfId="5106" priority="872">
      <formula>$C68&gt;$E$3</formula>
    </cfRule>
  </conditionalFormatting>
  <conditionalFormatting sqref="K48:K49">
    <cfRule type="expression" dxfId="5105" priority="868">
      <formula>$C68&lt;$E$3</formula>
    </cfRule>
  </conditionalFormatting>
  <conditionalFormatting sqref="K48:K49">
    <cfRule type="expression" dxfId="5104" priority="864">
      <formula>$C68=$E$3</formula>
    </cfRule>
    <cfRule type="expression" dxfId="5103" priority="865">
      <formula>$C68&lt;$E$3</formula>
    </cfRule>
    <cfRule type="cellIs" dxfId="5102" priority="866" operator="equal">
      <formula>0</formula>
    </cfRule>
    <cfRule type="expression" dxfId="5101" priority="867">
      <formula>$C68&gt;$E$3</formula>
    </cfRule>
  </conditionalFormatting>
  <conditionalFormatting sqref="K48:K49">
    <cfRule type="expression" dxfId="5100" priority="863">
      <formula>$C68&lt;$E$3</formula>
    </cfRule>
  </conditionalFormatting>
  <conditionalFormatting sqref="K48:K49">
    <cfRule type="expression" dxfId="5099" priority="859">
      <formula>$C68=$E$3</formula>
    </cfRule>
    <cfRule type="expression" dxfId="5098" priority="860">
      <formula>$C68&lt;$E$3</formula>
    </cfRule>
    <cfRule type="cellIs" dxfId="5097" priority="861" operator="equal">
      <formula>0</formula>
    </cfRule>
    <cfRule type="expression" dxfId="5096" priority="862">
      <formula>$C68&gt;$E$3</formula>
    </cfRule>
  </conditionalFormatting>
  <conditionalFormatting sqref="K48:K49">
    <cfRule type="expression" dxfId="5095" priority="858">
      <formula>$E68=""</formula>
    </cfRule>
  </conditionalFormatting>
  <conditionalFormatting sqref="K48:K49">
    <cfRule type="expression" dxfId="5094" priority="857">
      <formula>$C68&lt;$E$3</formula>
    </cfRule>
  </conditionalFormatting>
  <conditionalFormatting sqref="K48:K49">
    <cfRule type="expression" dxfId="5093" priority="856">
      <formula>$E68=""</formula>
    </cfRule>
  </conditionalFormatting>
  <conditionalFormatting sqref="K48:K49">
    <cfRule type="expression" dxfId="5092" priority="855">
      <formula>$E68=""</formula>
    </cfRule>
  </conditionalFormatting>
  <conditionalFormatting sqref="K48:K49">
    <cfRule type="expression" dxfId="5091" priority="854">
      <formula>$C68&lt;$E$3</formula>
    </cfRule>
  </conditionalFormatting>
  <conditionalFormatting sqref="K48:K49">
    <cfRule type="expression" dxfId="5090" priority="853">
      <formula>$E68=""</formula>
    </cfRule>
  </conditionalFormatting>
  <conditionalFormatting sqref="K48:K49">
    <cfRule type="expression" dxfId="5089" priority="852">
      <formula>$C68&lt;$E$3</formula>
    </cfRule>
  </conditionalFormatting>
  <conditionalFormatting sqref="K48:K49">
    <cfRule type="expression" dxfId="5088" priority="851">
      <formula>$E68=""</formula>
    </cfRule>
  </conditionalFormatting>
  <conditionalFormatting sqref="K48:K49">
    <cfRule type="expression" dxfId="5087" priority="850">
      <formula>$C68&lt;$E$3</formula>
    </cfRule>
  </conditionalFormatting>
  <conditionalFormatting sqref="K48:K49">
    <cfRule type="expression" dxfId="5086" priority="849">
      <formula>$E68=""</formula>
    </cfRule>
  </conditionalFormatting>
  <conditionalFormatting sqref="K48:K49">
    <cfRule type="expression" dxfId="5085" priority="848">
      <formula>$C68&lt;$E$3</formula>
    </cfRule>
  </conditionalFormatting>
  <conditionalFormatting sqref="K48:K49">
    <cfRule type="expression" dxfId="5084" priority="844">
      <formula>$C68=$E$3</formula>
    </cfRule>
    <cfRule type="expression" dxfId="5083" priority="845">
      <formula>$C68&lt;$E$3</formula>
    </cfRule>
    <cfRule type="cellIs" dxfId="5082" priority="846" operator="equal">
      <formula>0</formula>
    </cfRule>
    <cfRule type="expression" dxfId="5081" priority="847">
      <formula>$C68&gt;$E$3</formula>
    </cfRule>
  </conditionalFormatting>
  <conditionalFormatting sqref="K48:K49">
    <cfRule type="expression" dxfId="5080" priority="843">
      <formula>$C68&lt;$E$3</formula>
    </cfRule>
  </conditionalFormatting>
  <conditionalFormatting sqref="K48:K49">
    <cfRule type="expression" dxfId="5079" priority="839">
      <formula>$C68=$E$3</formula>
    </cfRule>
    <cfRule type="expression" dxfId="5078" priority="840">
      <formula>$C68&lt;$E$3</formula>
    </cfRule>
    <cfRule type="cellIs" dxfId="5077" priority="841" operator="equal">
      <formula>0</formula>
    </cfRule>
    <cfRule type="expression" dxfId="5076" priority="842">
      <formula>$C68&gt;$E$3</formula>
    </cfRule>
  </conditionalFormatting>
  <conditionalFormatting sqref="K48:K49">
    <cfRule type="expression" dxfId="5075" priority="838">
      <formula>$C68&lt;$E$3</formula>
    </cfRule>
  </conditionalFormatting>
  <conditionalFormatting sqref="K48:K49">
    <cfRule type="expression" dxfId="5074" priority="834">
      <formula>$C68=$E$3</formula>
    </cfRule>
    <cfRule type="expression" dxfId="5073" priority="835">
      <formula>$C68&lt;$E$3</formula>
    </cfRule>
    <cfRule type="cellIs" dxfId="5072" priority="836" operator="equal">
      <formula>0</formula>
    </cfRule>
    <cfRule type="expression" dxfId="5071" priority="837">
      <formula>$C68&gt;$E$3</formula>
    </cfRule>
  </conditionalFormatting>
  <conditionalFormatting sqref="K48:K49">
    <cfRule type="expression" dxfId="5070" priority="833">
      <formula>$C68&lt;$E$3</formula>
    </cfRule>
  </conditionalFormatting>
  <conditionalFormatting sqref="K48:K49">
    <cfRule type="expression" dxfId="5069" priority="829">
      <formula>$C68=$E$3</formula>
    </cfRule>
    <cfRule type="expression" dxfId="5068" priority="830">
      <formula>$C68&lt;$E$3</formula>
    </cfRule>
    <cfRule type="cellIs" dxfId="5067" priority="831" operator="equal">
      <formula>0</formula>
    </cfRule>
    <cfRule type="expression" dxfId="5066" priority="832">
      <formula>$C68&gt;$E$3</formula>
    </cfRule>
  </conditionalFormatting>
  <conditionalFormatting sqref="K48:K49">
    <cfRule type="expression" dxfId="5065" priority="828">
      <formula>$E68=""</formula>
    </cfRule>
  </conditionalFormatting>
  <conditionalFormatting sqref="K48:K49">
    <cfRule type="expression" dxfId="5064" priority="827">
      <formula>$C68&lt;$E$3</formula>
    </cfRule>
  </conditionalFormatting>
  <conditionalFormatting sqref="K48:K49">
    <cfRule type="expression" dxfId="5063" priority="826">
      <formula>$E68=""</formula>
    </cfRule>
  </conditionalFormatting>
  <conditionalFormatting sqref="K48:K49">
    <cfRule type="expression" dxfId="5062" priority="825">
      <formula>$E68=""</formula>
    </cfRule>
  </conditionalFormatting>
  <conditionalFormatting sqref="K48:K49">
    <cfRule type="expression" dxfId="5061" priority="824">
      <formula>$C68&lt;$E$3</formula>
    </cfRule>
  </conditionalFormatting>
  <conditionalFormatting sqref="K48:K49">
    <cfRule type="expression" dxfId="5060" priority="823">
      <formula>$E68=""</formula>
    </cfRule>
  </conditionalFormatting>
  <conditionalFormatting sqref="K48:K49">
    <cfRule type="expression" dxfId="5059" priority="822">
      <formula>$C68&lt;$E$3</formula>
    </cfRule>
  </conditionalFormatting>
  <conditionalFormatting sqref="K48:K49">
    <cfRule type="expression" dxfId="5058" priority="821">
      <formula>$E68=""</formula>
    </cfRule>
  </conditionalFormatting>
  <conditionalFormatting sqref="K48:K49">
    <cfRule type="expression" dxfId="5057" priority="820">
      <formula>$C68&lt;$E$3</formula>
    </cfRule>
  </conditionalFormatting>
  <conditionalFormatting sqref="K48:K49">
    <cfRule type="expression" dxfId="5056" priority="819">
      <formula>$E68=""</formula>
    </cfRule>
  </conditionalFormatting>
  <conditionalFormatting sqref="K50:K51">
    <cfRule type="expression" dxfId="5055" priority="51">
      <formula>$E50=""</formula>
    </cfRule>
  </conditionalFormatting>
  <conditionalFormatting sqref="H33:H37">
    <cfRule type="cellIs" dxfId="5054" priority="794" stopIfTrue="1" operator="lessThan">
      <formula>0</formula>
    </cfRule>
  </conditionalFormatting>
  <conditionalFormatting sqref="H33:H37">
    <cfRule type="expression" dxfId="5053" priority="798">
      <formula>$C33&lt;$E$3</formula>
    </cfRule>
  </conditionalFormatting>
  <conditionalFormatting sqref="H33:H37">
    <cfRule type="expression" dxfId="5052" priority="795">
      <formula>$C33=$E$3</formula>
    </cfRule>
    <cfRule type="expression" dxfId="5051" priority="796">
      <formula>$C33&lt;$E$3</formula>
    </cfRule>
    <cfRule type="cellIs" dxfId="5050" priority="797" operator="equal">
      <formula>0</formula>
    </cfRule>
    <cfRule type="expression" dxfId="5049" priority="799">
      <formula>$C33&gt;$E$3</formula>
    </cfRule>
  </conditionalFormatting>
  <conditionalFormatting sqref="H33:H37">
    <cfRule type="expression" dxfId="5048" priority="793">
      <formula>$C33&lt;$E$3</formula>
    </cfRule>
  </conditionalFormatting>
  <conditionalFormatting sqref="H33:H37">
    <cfRule type="expression" dxfId="5047" priority="789">
      <formula>$C33=$E$3</formula>
    </cfRule>
    <cfRule type="expression" dxfId="5046" priority="790">
      <formula>$C33&lt;$E$3</formula>
    </cfRule>
    <cfRule type="cellIs" dxfId="5045" priority="791" operator="equal">
      <formula>0</formula>
    </cfRule>
    <cfRule type="expression" dxfId="5044" priority="792">
      <formula>$C33&gt;$E$3</formula>
    </cfRule>
  </conditionalFormatting>
  <conditionalFormatting sqref="H33:H37">
    <cfRule type="expression" dxfId="5043" priority="788">
      <formula>$E33=""</formula>
    </cfRule>
  </conditionalFormatting>
  <conditionalFormatting sqref="H36">
    <cfRule type="expression" dxfId="5042" priority="787">
      <formula>$E36=""</formula>
    </cfRule>
  </conditionalFormatting>
  <conditionalFormatting sqref="H33:H37">
    <cfRule type="expression" dxfId="5041" priority="786">
      <formula>$C33&lt;$E$3</formula>
    </cfRule>
  </conditionalFormatting>
  <conditionalFormatting sqref="H33:H37">
    <cfRule type="expression" dxfId="5040" priority="782">
      <formula>$C33=$E$3</formula>
    </cfRule>
    <cfRule type="expression" dxfId="5039" priority="783">
      <formula>$C33&lt;$E$3</formula>
    </cfRule>
    <cfRule type="cellIs" dxfId="5038" priority="784" operator="equal">
      <formula>0</formula>
    </cfRule>
    <cfRule type="expression" dxfId="5037" priority="785">
      <formula>$C33&gt;$E$3</formula>
    </cfRule>
  </conditionalFormatting>
  <conditionalFormatting sqref="H33:H37">
    <cfRule type="expression" dxfId="5036" priority="781">
      <formula>$C33&lt;$E$3</formula>
    </cfRule>
  </conditionalFormatting>
  <conditionalFormatting sqref="H33:H37">
    <cfRule type="expression" dxfId="5035" priority="777">
      <formula>$C33=$E$3</formula>
    </cfRule>
    <cfRule type="expression" dxfId="5034" priority="778">
      <formula>$C33&lt;$E$3</formula>
    </cfRule>
    <cfRule type="cellIs" dxfId="5033" priority="779" operator="equal">
      <formula>0</formula>
    </cfRule>
    <cfRule type="expression" dxfId="5032" priority="780">
      <formula>$C33&gt;$E$3</formula>
    </cfRule>
  </conditionalFormatting>
  <conditionalFormatting sqref="H33:H37">
    <cfRule type="expression" dxfId="5031" priority="776">
      <formula>$E33=""</formula>
    </cfRule>
  </conditionalFormatting>
  <conditionalFormatting sqref="H33:H37">
    <cfRule type="expression" dxfId="5030" priority="775">
      <formula>$C33&lt;$E$3</formula>
    </cfRule>
  </conditionalFormatting>
  <conditionalFormatting sqref="H33:H37">
    <cfRule type="expression" dxfId="5029" priority="774">
      <formula>$E33=""</formula>
    </cfRule>
  </conditionalFormatting>
  <conditionalFormatting sqref="H33:H37">
    <cfRule type="expression" dxfId="5028" priority="773">
      <formula>$E33=""</formula>
    </cfRule>
  </conditionalFormatting>
  <conditionalFormatting sqref="H33:H37">
    <cfRule type="expression" dxfId="5027" priority="772">
      <formula>$C33&lt;$E$3</formula>
    </cfRule>
  </conditionalFormatting>
  <conditionalFormatting sqref="H33:H37">
    <cfRule type="expression" dxfId="5026" priority="771">
      <formula>$E33=""</formula>
    </cfRule>
  </conditionalFormatting>
  <conditionalFormatting sqref="H33:H37">
    <cfRule type="expression" dxfId="5025" priority="770">
      <formula>$C33&lt;$E$3</formula>
    </cfRule>
  </conditionalFormatting>
  <conditionalFormatting sqref="H33:H37">
    <cfRule type="expression" dxfId="5024" priority="769">
      <formula>$E33=""</formula>
    </cfRule>
  </conditionalFormatting>
  <conditionalFormatting sqref="H33:H37">
    <cfRule type="expression" dxfId="5023" priority="768">
      <formula>$C33&lt;$E$3</formula>
    </cfRule>
  </conditionalFormatting>
  <conditionalFormatting sqref="H33:H37">
    <cfRule type="expression" dxfId="5022" priority="767">
      <formula>$E33=""</formula>
    </cfRule>
  </conditionalFormatting>
  <conditionalFormatting sqref="J39:N40">
    <cfRule type="expression" dxfId="5021" priority="766">
      <formula>$L$40=0</formula>
    </cfRule>
  </conditionalFormatting>
  <conditionalFormatting sqref="K5:K11">
    <cfRule type="cellIs" dxfId="5020" priority="765" stopIfTrue="1" operator="lessThan">
      <formula>0</formula>
    </cfRule>
  </conditionalFormatting>
  <conditionalFormatting sqref="K5:K11">
    <cfRule type="expression" dxfId="5019" priority="763">
      <formula>$C5&lt;$E$3</formula>
    </cfRule>
  </conditionalFormatting>
  <conditionalFormatting sqref="K5:K11">
    <cfRule type="expression" dxfId="5018" priority="760">
      <formula>$C5=$E$3</formula>
    </cfRule>
    <cfRule type="expression" dxfId="5017" priority="761">
      <formula>$C5&lt;$E$3</formula>
    </cfRule>
    <cfRule type="cellIs" dxfId="5016" priority="762" operator="equal">
      <formula>0</formula>
    </cfRule>
    <cfRule type="expression" dxfId="5015" priority="764">
      <formula>$C5&gt;$E$3</formula>
    </cfRule>
  </conditionalFormatting>
  <conditionalFormatting sqref="K5:K11">
    <cfRule type="expression" dxfId="5014" priority="759">
      <formula>$E5=""</formula>
    </cfRule>
  </conditionalFormatting>
  <conditionalFormatting sqref="K5:K11">
    <cfRule type="expression" dxfId="5013" priority="758">
      <formula>$E5=""</formula>
    </cfRule>
  </conditionalFormatting>
  <conditionalFormatting sqref="K5:K11">
    <cfRule type="expression" dxfId="5012" priority="757">
      <formula>$E5=""</formula>
    </cfRule>
  </conditionalFormatting>
  <conditionalFormatting sqref="K10">
    <cfRule type="expression" dxfId="5011" priority="756">
      <formula>$C10&lt;$E$3</formula>
    </cfRule>
  </conditionalFormatting>
  <conditionalFormatting sqref="K10">
    <cfRule type="expression" dxfId="5010" priority="752">
      <formula>$C10=$E$3</formula>
    </cfRule>
    <cfRule type="expression" dxfId="5009" priority="753">
      <formula>$C10&lt;$E$3</formula>
    </cfRule>
    <cfRule type="cellIs" dxfId="5008" priority="754" operator="equal">
      <formula>0</formula>
    </cfRule>
    <cfRule type="expression" dxfId="5007" priority="755">
      <formula>$C10&gt;$E$3</formula>
    </cfRule>
  </conditionalFormatting>
  <conditionalFormatting sqref="K10">
    <cfRule type="expression" dxfId="5006" priority="751">
      <formula>$C10&lt;$E$3</formula>
    </cfRule>
  </conditionalFormatting>
  <conditionalFormatting sqref="K10">
    <cfRule type="expression" dxfId="5005" priority="747">
      <formula>$C10=$E$3</formula>
    </cfRule>
    <cfRule type="expression" dxfId="5004" priority="748">
      <formula>$C10&lt;$E$3</formula>
    </cfRule>
    <cfRule type="cellIs" dxfId="5003" priority="749" operator="equal">
      <formula>0</formula>
    </cfRule>
    <cfRule type="expression" dxfId="5002" priority="750">
      <formula>$C10&gt;$E$3</formula>
    </cfRule>
  </conditionalFormatting>
  <conditionalFormatting sqref="K10">
    <cfRule type="expression" dxfId="5001" priority="746">
      <formula>$C10&lt;$E$3</formula>
    </cfRule>
  </conditionalFormatting>
  <conditionalFormatting sqref="K10">
    <cfRule type="expression" dxfId="5000" priority="742">
      <formula>$C10=$E$3</formula>
    </cfRule>
    <cfRule type="expression" dxfId="4999" priority="743">
      <formula>$C10&lt;$E$3</formula>
    </cfRule>
    <cfRule type="cellIs" dxfId="4998" priority="744" operator="equal">
      <formula>0</formula>
    </cfRule>
    <cfRule type="expression" dxfId="4997" priority="745">
      <formula>$C10&gt;$E$3</formula>
    </cfRule>
  </conditionalFormatting>
  <conditionalFormatting sqref="K10">
    <cfRule type="expression" dxfId="4996" priority="741">
      <formula>$C10&lt;$E$3</formula>
    </cfRule>
  </conditionalFormatting>
  <conditionalFormatting sqref="K10">
    <cfRule type="expression" dxfId="4995" priority="737">
      <formula>$C10=$E$3</formula>
    </cfRule>
    <cfRule type="expression" dxfId="4994" priority="738">
      <formula>$C10&lt;$E$3</formula>
    </cfRule>
    <cfRule type="cellIs" dxfId="4993" priority="739" operator="equal">
      <formula>0</formula>
    </cfRule>
    <cfRule type="expression" dxfId="4992" priority="740">
      <formula>$C10&gt;$E$3</formula>
    </cfRule>
  </conditionalFormatting>
  <conditionalFormatting sqref="K10">
    <cfRule type="expression" dxfId="4991" priority="736">
      <formula>$E10=""</formula>
    </cfRule>
  </conditionalFormatting>
  <conditionalFormatting sqref="K10">
    <cfRule type="expression" dxfId="4990" priority="735">
      <formula>$C10&lt;$E$3</formula>
    </cfRule>
  </conditionalFormatting>
  <conditionalFormatting sqref="K10">
    <cfRule type="expression" dxfId="4989" priority="734">
      <formula>$E10=""</formula>
    </cfRule>
  </conditionalFormatting>
  <conditionalFormatting sqref="K10">
    <cfRule type="expression" dxfId="4988" priority="733">
      <formula>$E10=""</formula>
    </cfRule>
  </conditionalFormatting>
  <conditionalFormatting sqref="K10">
    <cfRule type="expression" dxfId="4987" priority="732">
      <formula>$C10&lt;$E$3</formula>
    </cfRule>
  </conditionalFormatting>
  <conditionalFormatting sqref="K10">
    <cfRule type="expression" dxfId="4986" priority="731">
      <formula>$E10=""</formula>
    </cfRule>
  </conditionalFormatting>
  <conditionalFormatting sqref="K10">
    <cfRule type="expression" dxfId="4985" priority="730">
      <formula>$C10&lt;$E$3</formula>
    </cfRule>
  </conditionalFormatting>
  <conditionalFormatting sqref="K10">
    <cfRule type="expression" dxfId="4984" priority="729">
      <formula>$E10=""</formula>
    </cfRule>
  </conditionalFormatting>
  <conditionalFormatting sqref="K10">
    <cfRule type="expression" dxfId="4983" priority="728">
      <formula>$C10&lt;$E$3</formula>
    </cfRule>
  </conditionalFormatting>
  <conditionalFormatting sqref="K10">
    <cfRule type="expression" dxfId="4982" priority="727">
      <formula>$E10=""</formula>
    </cfRule>
  </conditionalFormatting>
  <conditionalFormatting sqref="K10">
    <cfRule type="expression" dxfId="4981" priority="726">
      <formula>$C10&lt;$E$3</formula>
    </cfRule>
  </conditionalFormatting>
  <conditionalFormatting sqref="K10">
    <cfRule type="expression" dxfId="4980" priority="722">
      <formula>$C10=$E$3</formula>
    </cfRule>
    <cfRule type="expression" dxfId="4979" priority="723">
      <formula>$C10&lt;$E$3</formula>
    </cfRule>
    <cfRule type="cellIs" dxfId="4978" priority="724" operator="equal">
      <formula>0</formula>
    </cfRule>
    <cfRule type="expression" dxfId="4977" priority="725">
      <formula>$C10&gt;$E$3</formula>
    </cfRule>
  </conditionalFormatting>
  <conditionalFormatting sqref="K10">
    <cfRule type="expression" dxfId="4976" priority="721">
      <formula>$C10&lt;$E$3</formula>
    </cfRule>
  </conditionalFormatting>
  <conditionalFormatting sqref="K10">
    <cfRule type="expression" dxfId="4975" priority="717">
      <formula>$C10=$E$3</formula>
    </cfRule>
    <cfRule type="expression" dxfId="4974" priority="718">
      <formula>$C10&lt;$E$3</formula>
    </cfRule>
    <cfRule type="cellIs" dxfId="4973" priority="719" operator="equal">
      <formula>0</formula>
    </cfRule>
    <cfRule type="expression" dxfId="4972" priority="720">
      <formula>$C10&gt;$E$3</formula>
    </cfRule>
  </conditionalFormatting>
  <conditionalFormatting sqref="K10">
    <cfRule type="expression" dxfId="4971" priority="716">
      <formula>$C10&lt;$E$3</formula>
    </cfRule>
  </conditionalFormatting>
  <conditionalFormatting sqref="K10">
    <cfRule type="expression" dxfId="4970" priority="712">
      <formula>$C10=$E$3</formula>
    </cfRule>
    <cfRule type="expression" dxfId="4969" priority="713">
      <formula>$C10&lt;$E$3</formula>
    </cfRule>
    <cfRule type="cellIs" dxfId="4968" priority="714" operator="equal">
      <formula>0</formula>
    </cfRule>
    <cfRule type="expression" dxfId="4967" priority="715">
      <formula>$C10&gt;$E$3</formula>
    </cfRule>
  </conditionalFormatting>
  <conditionalFormatting sqref="K10">
    <cfRule type="expression" dxfId="4966" priority="711">
      <formula>$C10&lt;$E$3</formula>
    </cfRule>
  </conditionalFormatting>
  <conditionalFormatting sqref="K10">
    <cfRule type="expression" dxfId="4965" priority="707">
      <formula>$C10=$E$3</formula>
    </cfRule>
    <cfRule type="expression" dxfId="4964" priority="708">
      <formula>$C10&lt;$E$3</formula>
    </cfRule>
    <cfRule type="cellIs" dxfId="4963" priority="709" operator="equal">
      <formula>0</formula>
    </cfRule>
    <cfRule type="expression" dxfId="4962" priority="710">
      <formula>$C10&gt;$E$3</formula>
    </cfRule>
  </conditionalFormatting>
  <conditionalFormatting sqref="K10">
    <cfRule type="expression" dxfId="4961" priority="706">
      <formula>$E10=""</formula>
    </cfRule>
  </conditionalFormatting>
  <conditionalFormatting sqref="K10">
    <cfRule type="expression" dxfId="4960" priority="705">
      <formula>$C10&lt;$E$3</formula>
    </cfRule>
  </conditionalFormatting>
  <conditionalFormatting sqref="K10">
    <cfRule type="expression" dxfId="4959" priority="704">
      <formula>$E10=""</formula>
    </cfRule>
  </conditionalFormatting>
  <conditionalFormatting sqref="K10">
    <cfRule type="expression" dxfId="4958" priority="703">
      <formula>$E10=""</formula>
    </cfRule>
  </conditionalFormatting>
  <conditionalFormatting sqref="K10">
    <cfRule type="expression" dxfId="4957" priority="702">
      <formula>$C10&lt;$E$3</formula>
    </cfRule>
  </conditionalFormatting>
  <conditionalFormatting sqref="K10">
    <cfRule type="expression" dxfId="4956" priority="701">
      <formula>$E10=""</formula>
    </cfRule>
  </conditionalFormatting>
  <conditionalFormatting sqref="K10">
    <cfRule type="expression" dxfId="4955" priority="700">
      <formula>$C10&lt;$E$3</formula>
    </cfRule>
  </conditionalFormatting>
  <conditionalFormatting sqref="K10">
    <cfRule type="expression" dxfId="4954" priority="699">
      <formula>$E10=""</formula>
    </cfRule>
  </conditionalFormatting>
  <conditionalFormatting sqref="K10">
    <cfRule type="expression" dxfId="4953" priority="698">
      <formula>$C10&lt;$E$3</formula>
    </cfRule>
  </conditionalFormatting>
  <conditionalFormatting sqref="K10">
    <cfRule type="expression" dxfId="4952" priority="697">
      <formula>$E10=""</formula>
    </cfRule>
  </conditionalFormatting>
  <conditionalFormatting sqref="K5:K9">
    <cfRule type="expression" dxfId="4951" priority="696">
      <formula>$C5&lt;$E$3</formula>
    </cfRule>
  </conditionalFormatting>
  <conditionalFormatting sqref="K5:K9">
    <cfRule type="expression" dxfId="4950" priority="692">
      <formula>$C5=$E$3</formula>
    </cfRule>
    <cfRule type="expression" dxfId="4949" priority="693">
      <formula>$C5&lt;$E$3</formula>
    </cfRule>
    <cfRule type="cellIs" dxfId="4948" priority="694" operator="equal">
      <formula>0</formula>
    </cfRule>
    <cfRule type="expression" dxfId="4947" priority="695">
      <formula>$C5&gt;$E$3</formula>
    </cfRule>
  </conditionalFormatting>
  <conditionalFormatting sqref="K5:K9">
    <cfRule type="expression" dxfId="4946" priority="691">
      <formula>$C5&lt;$E$3</formula>
    </cfRule>
  </conditionalFormatting>
  <conditionalFormatting sqref="K5:K9">
    <cfRule type="expression" dxfId="4945" priority="687">
      <formula>$C5=$E$3</formula>
    </cfRule>
    <cfRule type="expression" dxfId="4944" priority="688">
      <formula>$C5&lt;$E$3</formula>
    </cfRule>
    <cfRule type="cellIs" dxfId="4943" priority="689" operator="equal">
      <formula>0</formula>
    </cfRule>
    <cfRule type="expression" dxfId="4942" priority="690">
      <formula>$C5&gt;$E$3</formula>
    </cfRule>
  </conditionalFormatting>
  <conditionalFormatting sqref="K5:K9">
    <cfRule type="expression" dxfId="4941" priority="686">
      <formula>$C5&lt;$E$3</formula>
    </cfRule>
  </conditionalFormatting>
  <conditionalFormatting sqref="K5:K9">
    <cfRule type="expression" dxfId="4940" priority="682">
      <formula>$C5=$E$3</formula>
    </cfRule>
    <cfRule type="expression" dxfId="4939" priority="683">
      <formula>$C5&lt;$E$3</formula>
    </cfRule>
    <cfRule type="cellIs" dxfId="4938" priority="684" operator="equal">
      <formula>0</formula>
    </cfRule>
    <cfRule type="expression" dxfId="4937" priority="685">
      <formula>$C5&gt;$E$3</formula>
    </cfRule>
  </conditionalFormatting>
  <conditionalFormatting sqref="K5:K9">
    <cfRule type="expression" dxfId="4936" priority="681">
      <formula>$C5&lt;$E$3</formula>
    </cfRule>
  </conditionalFormatting>
  <conditionalFormatting sqref="K5:K9">
    <cfRule type="expression" dxfId="4935" priority="677">
      <formula>$C5=$E$3</formula>
    </cfRule>
    <cfRule type="expression" dxfId="4934" priority="678">
      <formula>$C5&lt;$E$3</formula>
    </cfRule>
    <cfRule type="cellIs" dxfId="4933" priority="679" operator="equal">
      <formula>0</formula>
    </cfRule>
    <cfRule type="expression" dxfId="4932" priority="680">
      <formula>$C5&gt;$E$3</formula>
    </cfRule>
  </conditionalFormatting>
  <conditionalFormatting sqref="K5:K9">
    <cfRule type="expression" dxfId="4931" priority="676">
      <formula>$E5=""</formula>
    </cfRule>
  </conditionalFormatting>
  <conditionalFormatting sqref="K5:K9">
    <cfRule type="expression" dxfId="4930" priority="675">
      <formula>$C5&lt;$E$3</formula>
    </cfRule>
  </conditionalFormatting>
  <conditionalFormatting sqref="K5:K9">
    <cfRule type="expression" dxfId="4929" priority="674">
      <formula>$E5=""</formula>
    </cfRule>
  </conditionalFormatting>
  <conditionalFormatting sqref="K5:K9">
    <cfRule type="expression" dxfId="4928" priority="673">
      <formula>$E5=""</formula>
    </cfRule>
  </conditionalFormatting>
  <conditionalFormatting sqref="K5:K9">
    <cfRule type="expression" dxfId="4927" priority="672">
      <formula>$C5&lt;$E$3</formula>
    </cfRule>
  </conditionalFormatting>
  <conditionalFormatting sqref="K5:K9">
    <cfRule type="expression" dxfId="4926" priority="671">
      <formula>$E5=""</formula>
    </cfRule>
  </conditionalFormatting>
  <conditionalFormatting sqref="K5:K9">
    <cfRule type="expression" dxfId="4925" priority="670">
      <formula>$C5&lt;$E$3</formula>
    </cfRule>
  </conditionalFormatting>
  <conditionalFormatting sqref="K5:K9">
    <cfRule type="expression" dxfId="4924" priority="669">
      <formula>$E5=""</formula>
    </cfRule>
  </conditionalFormatting>
  <conditionalFormatting sqref="K5:K9">
    <cfRule type="expression" dxfId="4923" priority="668">
      <formula>$C5&lt;$E$3</formula>
    </cfRule>
  </conditionalFormatting>
  <conditionalFormatting sqref="K5:K9">
    <cfRule type="expression" dxfId="4922" priority="667">
      <formula>$E5=""</formula>
    </cfRule>
  </conditionalFormatting>
  <conditionalFormatting sqref="K5:K9">
    <cfRule type="expression" dxfId="4921" priority="666">
      <formula>$C5&lt;$E$3</formula>
    </cfRule>
  </conditionalFormatting>
  <conditionalFormatting sqref="K5:K9">
    <cfRule type="expression" dxfId="4920" priority="662">
      <formula>$C5=$E$3</formula>
    </cfRule>
    <cfRule type="expression" dxfId="4919" priority="663">
      <formula>$C5&lt;$E$3</formula>
    </cfRule>
    <cfRule type="cellIs" dxfId="4918" priority="664" operator="equal">
      <formula>0</formula>
    </cfRule>
    <cfRule type="expression" dxfId="4917" priority="665">
      <formula>$C5&gt;$E$3</formula>
    </cfRule>
  </conditionalFormatting>
  <conditionalFormatting sqref="K5:K9">
    <cfRule type="expression" dxfId="4916" priority="661">
      <formula>$C5&lt;$E$3</formula>
    </cfRule>
  </conditionalFormatting>
  <conditionalFormatting sqref="K5:K9">
    <cfRule type="expression" dxfId="4915" priority="657">
      <formula>$C5=$E$3</formula>
    </cfRule>
    <cfRule type="expression" dxfId="4914" priority="658">
      <formula>$C5&lt;$E$3</formula>
    </cfRule>
    <cfRule type="cellIs" dxfId="4913" priority="659" operator="equal">
      <formula>0</formula>
    </cfRule>
    <cfRule type="expression" dxfId="4912" priority="660">
      <formula>$C5&gt;$E$3</formula>
    </cfRule>
  </conditionalFormatting>
  <conditionalFormatting sqref="K5:K9">
    <cfRule type="expression" dxfId="4911" priority="656">
      <formula>$C5&lt;$E$3</formula>
    </cfRule>
  </conditionalFormatting>
  <conditionalFormatting sqref="K5:K9">
    <cfRule type="expression" dxfId="4910" priority="652">
      <formula>$C5=$E$3</formula>
    </cfRule>
    <cfRule type="expression" dxfId="4909" priority="653">
      <formula>$C5&lt;$E$3</formula>
    </cfRule>
    <cfRule type="cellIs" dxfId="4908" priority="654" operator="equal">
      <formula>0</formula>
    </cfRule>
    <cfRule type="expression" dxfId="4907" priority="655">
      <formula>$C5&gt;$E$3</formula>
    </cfRule>
  </conditionalFormatting>
  <conditionalFormatting sqref="K5:K9">
    <cfRule type="expression" dxfId="4906" priority="651">
      <formula>$C5&lt;$E$3</formula>
    </cfRule>
  </conditionalFormatting>
  <conditionalFormatting sqref="K5:K9">
    <cfRule type="expression" dxfId="4905" priority="647">
      <formula>$C5=$E$3</formula>
    </cfRule>
    <cfRule type="expression" dxfId="4904" priority="648">
      <formula>$C5&lt;$E$3</formula>
    </cfRule>
    <cfRule type="cellIs" dxfId="4903" priority="649" operator="equal">
      <formula>0</formula>
    </cfRule>
    <cfRule type="expression" dxfId="4902" priority="650">
      <formula>$C5&gt;$E$3</formula>
    </cfRule>
  </conditionalFormatting>
  <conditionalFormatting sqref="K5:K9">
    <cfRule type="expression" dxfId="4901" priority="646">
      <formula>$E5=""</formula>
    </cfRule>
  </conditionalFormatting>
  <conditionalFormatting sqref="K5:K9">
    <cfRule type="expression" dxfId="4900" priority="645">
      <formula>$C5&lt;$E$3</formula>
    </cfRule>
  </conditionalFormatting>
  <conditionalFormatting sqref="K5:K9">
    <cfRule type="expression" dxfId="4899" priority="644">
      <formula>$E5=""</formula>
    </cfRule>
  </conditionalFormatting>
  <conditionalFormatting sqref="K5:K9">
    <cfRule type="expression" dxfId="4898" priority="643">
      <formula>$E5=""</formula>
    </cfRule>
  </conditionalFormatting>
  <conditionalFormatting sqref="K5:K9">
    <cfRule type="expression" dxfId="4897" priority="642">
      <formula>$C5&lt;$E$3</formula>
    </cfRule>
  </conditionalFormatting>
  <conditionalFormatting sqref="K5:K9">
    <cfRule type="expression" dxfId="4896" priority="641">
      <formula>$E5=""</formula>
    </cfRule>
  </conditionalFormatting>
  <conditionalFormatting sqref="K5:K9">
    <cfRule type="expression" dxfId="4895" priority="640">
      <formula>$C5&lt;$E$3</formula>
    </cfRule>
  </conditionalFormatting>
  <conditionalFormatting sqref="K5:K9">
    <cfRule type="expression" dxfId="4894" priority="639">
      <formula>$E5=""</formula>
    </cfRule>
  </conditionalFormatting>
  <conditionalFormatting sqref="K5:K9">
    <cfRule type="expression" dxfId="4893" priority="638">
      <formula>$C5&lt;$E$3</formula>
    </cfRule>
  </conditionalFormatting>
  <conditionalFormatting sqref="K5:K9">
    <cfRule type="expression" dxfId="4892" priority="637">
      <formula>$E5=""</formula>
    </cfRule>
  </conditionalFormatting>
  <conditionalFormatting sqref="K5:K11">
    <cfRule type="expression" dxfId="4891" priority="635">
      <formula>$C5&lt;$E$3</formula>
    </cfRule>
  </conditionalFormatting>
  <conditionalFormatting sqref="K5:K11">
    <cfRule type="expression" dxfId="4890" priority="632">
      <formula>$C5=$E$3</formula>
    </cfRule>
    <cfRule type="expression" dxfId="4889" priority="633">
      <formula>$C5&lt;$E$3</formula>
    </cfRule>
    <cfRule type="cellIs" dxfId="4888" priority="634" operator="equal">
      <formula>0</formula>
    </cfRule>
    <cfRule type="expression" dxfId="4887" priority="636">
      <formula>$C5&gt;$E$3</formula>
    </cfRule>
  </conditionalFormatting>
  <conditionalFormatting sqref="K5:K11">
    <cfRule type="expression" dxfId="4886" priority="631">
      <formula>$E5=""</formula>
    </cfRule>
  </conditionalFormatting>
  <conditionalFormatting sqref="K5:K11">
    <cfRule type="expression" dxfId="4885" priority="630">
      <formula>$E5=""</formula>
    </cfRule>
  </conditionalFormatting>
  <conditionalFormatting sqref="K5:K11">
    <cfRule type="expression" dxfId="4884" priority="629">
      <formula>$E5=""</formula>
    </cfRule>
  </conditionalFormatting>
  <conditionalFormatting sqref="K14:K20">
    <cfRule type="cellIs" dxfId="4883" priority="628" stopIfTrue="1" operator="lessThan">
      <formula>0</formula>
    </cfRule>
  </conditionalFormatting>
  <conditionalFormatting sqref="K14:K20">
    <cfRule type="expression" dxfId="4882" priority="626">
      <formula>$C14&lt;$E$3</formula>
    </cfRule>
  </conditionalFormatting>
  <conditionalFormatting sqref="K14:K20">
    <cfRule type="expression" dxfId="4881" priority="623">
      <formula>$C14=$E$3</formula>
    </cfRule>
    <cfRule type="expression" dxfId="4880" priority="624">
      <formula>$C14&lt;$E$3</formula>
    </cfRule>
    <cfRule type="cellIs" dxfId="4879" priority="625" operator="equal">
      <formula>0</formula>
    </cfRule>
    <cfRule type="expression" dxfId="4878" priority="627">
      <formula>$C14&gt;$E$3</formula>
    </cfRule>
  </conditionalFormatting>
  <conditionalFormatting sqref="K14:K20">
    <cfRule type="expression" dxfId="4877" priority="622">
      <formula>$E14=""</formula>
    </cfRule>
  </conditionalFormatting>
  <conditionalFormatting sqref="K14:K20">
    <cfRule type="expression" dxfId="4876" priority="621">
      <formula>$E14=""</formula>
    </cfRule>
  </conditionalFormatting>
  <conditionalFormatting sqref="K14:K20">
    <cfRule type="expression" dxfId="4875" priority="620">
      <formula>$E14=""</formula>
    </cfRule>
  </conditionalFormatting>
  <conditionalFormatting sqref="K19">
    <cfRule type="expression" dxfId="4874" priority="619">
      <formula>$C19&lt;$E$3</formula>
    </cfRule>
  </conditionalFormatting>
  <conditionalFormatting sqref="K19">
    <cfRule type="expression" dxfId="4873" priority="615">
      <formula>$C19=$E$3</formula>
    </cfRule>
    <cfRule type="expression" dxfId="4872" priority="616">
      <formula>$C19&lt;$E$3</formula>
    </cfRule>
    <cfRule type="cellIs" dxfId="4871" priority="617" operator="equal">
      <formula>0</formula>
    </cfRule>
    <cfRule type="expression" dxfId="4870" priority="618">
      <formula>$C19&gt;$E$3</formula>
    </cfRule>
  </conditionalFormatting>
  <conditionalFormatting sqref="K19">
    <cfRule type="expression" dxfId="4869" priority="614">
      <formula>$C19&lt;$E$3</formula>
    </cfRule>
  </conditionalFormatting>
  <conditionalFormatting sqref="K19">
    <cfRule type="expression" dxfId="4868" priority="610">
      <formula>$C19=$E$3</formula>
    </cfRule>
    <cfRule type="expression" dxfId="4867" priority="611">
      <formula>$C19&lt;$E$3</formula>
    </cfRule>
    <cfRule type="cellIs" dxfId="4866" priority="612" operator="equal">
      <formula>0</formula>
    </cfRule>
    <cfRule type="expression" dxfId="4865" priority="613">
      <formula>$C19&gt;$E$3</formula>
    </cfRule>
  </conditionalFormatting>
  <conditionalFormatting sqref="K19">
    <cfRule type="expression" dxfId="4864" priority="609">
      <formula>$C19&lt;$E$3</formula>
    </cfRule>
  </conditionalFormatting>
  <conditionalFormatting sqref="K19">
    <cfRule type="expression" dxfId="4863" priority="605">
      <formula>$C19=$E$3</formula>
    </cfRule>
    <cfRule type="expression" dxfId="4862" priority="606">
      <formula>$C19&lt;$E$3</formula>
    </cfRule>
    <cfRule type="cellIs" dxfId="4861" priority="607" operator="equal">
      <formula>0</formula>
    </cfRule>
    <cfRule type="expression" dxfId="4860" priority="608">
      <formula>$C19&gt;$E$3</formula>
    </cfRule>
  </conditionalFormatting>
  <conditionalFormatting sqref="K19">
    <cfRule type="expression" dxfId="4859" priority="604">
      <formula>$C19&lt;$E$3</formula>
    </cfRule>
  </conditionalFormatting>
  <conditionalFormatting sqref="K19">
    <cfRule type="expression" dxfId="4858" priority="600">
      <formula>$C19=$E$3</formula>
    </cfRule>
    <cfRule type="expression" dxfId="4857" priority="601">
      <formula>$C19&lt;$E$3</formula>
    </cfRule>
    <cfRule type="cellIs" dxfId="4856" priority="602" operator="equal">
      <formula>0</formula>
    </cfRule>
    <cfRule type="expression" dxfId="4855" priority="603">
      <formula>$C19&gt;$E$3</formula>
    </cfRule>
  </conditionalFormatting>
  <conditionalFormatting sqref="K19">
    <cfRule type="expression" dxfId="4854" priority="599">
      <formula>$E19=""</formula>
    </cfRule>
  </conditionalFormatting>
  <conditionalFormatting sqref="K19">
    <cfRule type="expression" dxfId="4853" priority="598">
      <formula>$C19&lt;$E$3</formula>
    </cfRule>
  </conditionalFormatting>
  <conditionalFormatting sqref="K19">
    <cfRule type="expression" dxfId="4852" priority="597">
      <formula>$E19=""</formula>
    </cfRule>
  </conditionalFormatting>
  <conditionalFormatting sqref="K19">
    <cfRule type="expression" dxfId="4851" priority="596">
      <formula>$E19=""</formula>
    </cfRule>
  </conditionalFormatting>
  <conditionalFormatting sqref="K19">
    <cfRule type="expression" dxfId="4850" priority="595">
      <formula>$C19&lt;$E$3</formula>
    </cfRule>
  </conditionalFormatting>
  <conditionalFormatting sqref="K19">
    <cfRule type="expression" dxfId="4849" priority="594">
      <formula>$E19=""</formula>
    </cfRule>
  </conditionalFormatting>
  <conditionalFormatting sqref="K19">
    <cfRule type="expression" dxfId="4848" priority="593">
      <formula>$C19&lt;$E$3</formula>
    </cfRule>
  </conditionalFormatting>
  <conditionalFormatting sqref="K19">
    <cfRule type="expression" dxfId="4847" priority="592">
      <formula>$E19=""</formula>
    </cfRule>
  </conditionalFormatting>
  <conditionalFormatting sqref="K19">
    <cfRule type="expression" dxfId="4846" priority="591">
      <formula>$C19&lt;$E$3</formula>
    </cfRule>
  </conditionalFormatting>
  <conditionalFormatting sqref="K19">
    <cfRule type="expression" dxfId="4845" priority="590">
      <formula>$E19=""</formula>
    </cfRule>
  </conditionalFormatting>
  <conditionalFormatting sqref="K19">
    <cfRule type="expression" dxfId="4844" priority="589">
      <formula>$C19&lt;$E$3</formula>
    </cfRule>
  </conditionalFormatting>
  <conditionalFormatting sqref="K19">
    <cfRule type="expression" dxfId="4843" priority="585">
      <formula>$C19=$E$3</formula>
    </cfRule>
    <cfRule type="expression" dxfId="4842" priority="586">
      <formula>$C19&lt;$E$3</formula>
    </cfRule>
    <cfRule type="cellIs" dxfId="4841" priority="587" operator="equal">
      <formula>0</formula>
    </cfRule>
    <cfRule type="expression" dxfId="4840" priority="588">
      <formula>$C19&gt;$E$3</formula>
    </cfRule>
  </conditionalFormatting>
  <conditionalFormatting sqref="K19">
    <cfRule type="expression" dxfId="4839" priority="584">
      <formula>$C19&lt;$E$3</formula>
    </cfRule>
  </conditionalFormatting>
  <conditionalFormatting sqref="K19">
    <cfRule type="expression" dxfId="4838" priority="580">
      <formula>$C19=$E$3</formula>
    </cfRule>
    <cfRule type="expression" dxfId="4837" priority="581">
      <formula>$C19&lt;$E$3</formula>
    </cfRule>
    <cfRule type="cellIs" dxfId="4836" priority="582" operator="equal">
      <formula>0</formula>
    </cfRule>
    <cfRule type="expression" dxfId="4835" priority="583">
      <formula>$C19&gt;$E$3</formula>
    </cfRule>
  </conditionalFormatting>
  <conditionalFormatting sqref="K19">
    <cfRule type="expression" dxfId="4834" priority="579">
      <formula>$C19&lt;$E$3</formula>
    </cfRule>
  </conditionalFormatting>
  <conditionalFormatting sqref="K19">
    <cfRule type="expression" dxfId="4833" priority="575">
      <formula>$C19=$E$3</formula>
    </cfRule>
    <cfRule type="expression" dxfId="4832" priority="576">
      <formula>$C19&lt;$E$3</formula>
    </cfRule>
    <cfRule type="cellIs" dxfId="4831" priority="577" operator="equal">
      <formula>0</formula>
    </cfRule>
    <cfRule type="expression" dxfId="4830" priority="578">
      <formula>$C19&gt;$E$3</formula>
    </cfRule>
  </conditionalFormatting>
  <conditionalFormatting sqref="K19">
    <cfRule type="expression" dxfId="4829" priority="574">
      <formula>$C19&lt;$E$3</formula>
    </cfRule>
  </conditionalFormatting>
  <conditionalFormatting sqref="K19">
    <cfRule type="expression" dxfId="4828" priority="570">
      <formula>$C19=$E$3</formula>
    </cfRule>
    <cfRule type="expression" dxfId="4827" priority="571">
      <formula>$C19&lt;$E$3</formula>
    </cfRule>
    <cfRule type="cellIs" dxfId="4826" priority="572" operator="equal">
      <formula>0</formula>
    </cfRule>
    <cfRule type="expression" dxfId="4825" priority="573">
      <formula>$C19&gt;$E$3</formula>
    </cfRule>
  </conditionalFormatting>
  <conditionalFormatting sqref="K19">
    <cfRule type="expression" dxfId="4824" priority="569">
      <formula>$E19=""</formula>
    </cfRule>
  </conditionalFormatting>
  <conditionalFormatting sqref="K19">
    <cfRule type="expression" dxfId="4823" priority="568">
      <formula>$C19&lt;$E$3</formula>
    </cfRule>
  </conditionalFormatting>
  <conditionalFormatting sqref="K19">
    <cfRule type="expression" dxfId="4822" priority="567">
      <formula>$E19=""</formula>
    </cfRule>
  </conditionalFormatting>
  <conditionalFormatting sqref="K19">
    <cfRule type="expression" dxfId="4821" priority="566">
      <formula>$E19=""</formula>
    </cfRule>
  </conditionalFormatting>
  <conditionalFormatting sqref="K19">
    <cfRule type="expression" dxfId="4820" priority="565">
      <formula>$C19&lt;$E$3</formula>
    </cfRule>
  </conditionalFormatting>
  <conditionalFormatting sqref="K19">
    <cfRule type="expression" dxfId="4819" priority="564">
      <formula>$E19=""</formula>
    </cfRule>
  </conditionalFormatting>
  <conditionalFormatting sqref="K19">
    <cfRule type="expression" dxfId="4818" priority="563">
      <formula>$C19&lt;$E$3</formula>
    </cfRule>
  </conditionalFormatting>
  <conditionalFormatting sqref="K19">
    <cfRule type="expression" dxfId="4817" priority="562">
      <formula>$E19=""</formula>
    </cfRule>
  </conditionalFormatting>
  <conditionalFormatting sqref="K19">
    <cfRule type="expression" dxfId="4816" priority="561">
      <formula>$C19&lt;$E$3</formula>
    </cfRule>
  </conditionalFormatting>
  <conditionalFormatting sqref="K19">
    <cfRule type="expression" dxfId="4815" priority="560">
      <formula>$E19=""</formula>
    </cfRule>
  </conditionalFormatting>
  <conditionalFormatting sqref="K14:K18">
    <cfRule type="expression" dxfId="4814" priority="559">
      <formula>$C14&lt;$E$3</formula>
    </cfRule>
  </conditionalFormatting>
  <conditionalFormatting sqref="K14:K18">
    <cfRule type="expression" dxfId="4813" priority="555">
      <formula>$C14=$E$3</formula>
    </cfRule>
    <cfRule type="expression" dxfId="4812" priority="556">
      <formula>$C14&lt;$E$3</formula>
    </cfRule>
    <cfRule type="cellIs" dxfId="4811" priority="557" operator="equal">
      <formula>0</formula>
    </cfRule>
    <cfRule type="expression" dxfId="4810" priority="558">
      <formula>$C14&gt;$E$3</formula>
    </cfRule>
  </conditionalFormatting>
  <conditionalFormatting sqref="K14:K18">
    <cfRule type="expression" dxfId="4809" priority="554">
      <formula>$C14&lt;$E$3</formula>
    </cfRule>
  </conditionalFormatting>
  <conditionalFormatting sqref="K14:K18">
    <cfRule type="expression" dxfId="4808" priority="550">
      <formula>$C14=$E$3</formula>
    </cfRule>
    <cfRule type="expression" dxfId="4807" priority="551">
      <formula>$C14&lt;$E$3</formula>
    </cfRule>
    <cfRule type="cellIs" dxfId="4806" priority="552" operator="equal">
      <formula>0</formula>
    </cfRule>
    <cfRule type="expression" dxfId="4805" priority="553">
      <formula>$C14&gt;$E$3</formula>
    </cfRule>
  </conditionalFormatting>
  <conditionalFormatting sqref="K14:K18">
    <cfRule type="expression" dxfId="4804" priority="549">
      <formula>$C14&lt;$E$3</formula>
    </cfRule>
  </conditionalFormatting>
  <conditionalFormatting sqref="K14:K18">
    <cfRule type="expression" dxfId="4803" priority="545">
      <formula>$C14=$E$3</formula>
    </cfRule>
    <cfRule type="expression" dxfId="4802" priority="546">
      <formula>$C14&lt;$E$3</formula>
    </cfRule>
    <cfRule type="cellIs" dxfId="4801" priority="547" operator="equal">
      <formula>0</formula>
    </cfRule>
    <cfRule type="expression" dxfId="4800" priority="548">
      <formula>$C14&gt;$E$3</formula>
    </cfRule>
  </conditionalFormatting>
  <conditionalFormatting sqref="K14:K18">
    <cfRule type="expression" dxfId="4799" priority="544">
      <formula>$C14&lt;$E$3</formula>
    </cfRule>
  </conditionalFormatting>
  <conditionalFormatting sqref="K14:K18">
    <cfRule type="expression" dxfId="4798" priority="540">
      <formula>$C14=$E$3</formula>
    </cfRule>
    <cfRule type="expression" dxfId="4797" priority="541">
      <formula>$C14&lt;$E$3</formula>
    </cfRule>
    <cfRule type="cellIs" dxfId="4796" priority="542" operator="equal">
      <formula>0</formula>
    </cfRule>
    <cfRule type="expression" dxfId="4795" priority="543">
      <formula>$C14&gt;$E$3</formula>
    </cfRule>
  </conditionalFormatting>
  <conditionalFormatting sqref="K14:K18">
    <cfRule type="expression" dxfId="4794" priority="539">
      <formula>$E14=""</formula>
    </cfRule>
  </conditionalFormatting>
  <conditionalFormatting sqref="K14:K18">
    <cfRule type="expression" dxfId="4793" priority="538">
      <formula>$C14&lt;$E$3</formula>
    </cfRule>
  </conditionalFormatting>
  <conditionalFormatting sqref="K14:K18">
    <cfRule type="expression" dxfId="4792" priority="537">
      <formula>$E14=""</formula>
    </cfRule>
  </conditionalFormatting>
  <conditionalFormatting sqref="K14:K18">
    <cfRule type="expression" dxfId="4791" priority="536">
      <formula>$E14=""</formula>
    </cfRule>
  </conditionalFormatting>
  <conditionalFormatting sqref="K14:K18">
    <cfRule type="expression" dxfId="4790" priority="535">
      <formula>$C14&lt;$E$3</formula>
    </cfRule>
  </conditionalFormatting>
  <conditionalFormatting sqref="K14:K18">
    <cfRule type="expression" dxfId="4789" priority="534">
      <formula>$E14=""</formula>
    </cfRule>
  </conditionalFormatting>
  <conditionalFormatting sqref="K14:K18">
    <cfRule type="expression" dxfId="4788" priority="533">
      <formula>$C14&lt;$E$3</formula>
    </cfRule>
  </conditionalFormatting>
  <conditionalFormatting sqref="K14:K18">
    <cfRule type="expression" dxfId="4787" priority="532">
      <formula>$E14=""</formula>
    </cfRule>
  </conditionalFormatting>
  <conditionalFormatting sqref="K14:K18">
    <cfRule type="expression" dxfId="4786" priority="531">
      <formula>$C14&lt;$E$3</formula>
    </cfRule>
  </conditionalFormatting>
  <conditionalFormatting sqref="K14:K18">
    <cfRule type="expression" dxfId="4785" priority="530">
      <formula>$E14=""</formula>
    </cfRule>
  </conditionalFormatting>
  <conditionalFormatting sqref="K14:K18">
    <cfRule type="expression" dxfId="4784" priority="529">
      <formula>$C14&lt;$E$3</formula>
    </cfRule>
  </conditionalFormatting>
  <conditionalFormatting sqref="K14:K18">
    <cfRule type="expression" dxfId="4783" priority="525">
      <formula>$C14=$E$3</formula>
    </cfRule>
    <cfRule type="expression" dxfId="4782" priority="526">
      <formula>$C14&lt;$E$3</formula>
    </cfRule>
    <cfRule type="cellIs" dxfId="4781" priority="527" operator="equal">
      <formula>0</formula>
    </cfRule>
    <cfRule type="expression" dxfId="4780" priority="528">
      <formula>$C14&gt;$E$3</formula>
    </cfRule>
  </conditionalFormatting>
  <conditionalFormatting sqref="K14:K18">
    <cfRule type="expression" dxfId="4779" priority="524">
      <formula>$C14&lt;$E$3</formula>
    </cfRule>
  </conditionalFormatting>
  <conditionalFormatting sqref="K14:K18">
    <cfRule type="expression" dxfId="4778" priority="520">
      <formula>$C14=$E$3</formula>
    </cfRule>
    <cfRule type="expression" dxfId="4777" priority="521">
      <formula>$C14&lt;$E$3</formula>
    </cfRule>
    <cfRule type="cellIs" dxfId="4776" priority="522" operator="equal">
      <formula>0</formula>
    </cfRule>
    <cfRule type="expression" dxfId="4775" priority="523">
      <formula>$C14&gt;$E$3</formula>
    </cfRule>
  </conditionalFormatting>
  <conditionalFormatting sqref="K14:K18">
    <cfRule type="expression" dxfId="4774" priority="519">
      <formula>$C14&lt;$E$3</formula>
    </cfRule>
  </conditionalFormatting>
  <conditionalFormatting sqref="K14:K18">
    <cfRule type="expression" dxfId="4773" priority="515">
      <formula>$C14=$E$3</formula>
    </cfRule>
    <cfRule type="expression" dxfId="4772" priority="516">
      <formula>$C14&lt;$E$3</formula>
    </cfRule>
    <cfRule type="cellIs" dxfId="4771" priority="517" operator="equal">
      <formula>0</formula>
    </cfRule>
    <cfRule type="expression" dxfId="4770" priority="518">
      <formula>$C14&gt;$E$3</formula>
    </cfRule>
  </conditionalFormatting>
  <conditionalFormatting sqref="K14:K18">
    <cfRule type="expression" dxfId="4769" priority="514">
      <formula>$C14&lt;$E$3</formula>
    </cfRule>
  </conditionalFormatting>
  <conditionalFormatting sqref="K14:K18">
    <cfRule type="expression" dxfId="4768" priority="510">
      <formula>$C14=$E$3</formula>
    </cfRule>
    <cfRule type="expression" dxfId="4767" priority="511">
      <formula>$C14&lt;$E$3</formula>
    </cfRule>
    <cfRule type="cellIs" dxfId="4766" priority="512" operator="equal">
      <formula>0</formula>
    </cfRule>
    <cfRule type="expression" dxfId="4765" priority="513">
      <formula>$C14&gt;$E$3</formula>
    </cfRule>
  </conditionalFormatting>
  <conditionalFormatting sqref="K14:K18">
    <cfRule type="expression" dxfId="4764" priority="509">
      <formula>$E14=""</formula>
    </cfRule>
  </conditionalFormatting>
  <conditionalFormatting sqref="K14:K18">
    <cfRule type="expression" dxfId="4763" priority="508">
      <formula>$C14&lt;$E$3</formula>
    </cfRule>
  </conditionalFormatting>
  <conditionalFormatting sqref="K14:K18">
    <cfRule type="expression" dxfId="4762" priority="507">
      <formula>$E14=""</formula>
    </cfRule>
  </conditionalFormatting>
  <conditionalFormatting sqref="K14:K18">
    <cfRule type="expression" dxfId="4761" priority="506">
      <formula>$E14=""</formula>
    </cfRule>
  </conditionalFormatting>
  <conditionalFormatting sqref="K14:K18">
    <cfRule type="expression" dxfId="4760" priority="505">
      <formula>$C14&lt;$E$3</formula>
    </cfRule>
  </conditionalFormatting>
  <conditionalFormatting sqref="K14:K18">
    <cfRule type="expression" dxfId="4759" priority="504">
      <formula>$E14=""</formula>
    </cfRule>
  </conditionalFormatting>
  <conditionalFormatting sqref="K14:K18">
    <cfRule type="expression" dxfId="4758" priority="503">
      <formula>$C14&lt;$E$3</formula>
    </cfRule>
  </conditionalFormatting>
  <conditionalFormatting sqref="K14:K18">
    <cfRule type="expression" dxfId="4757" priority="502">
      <formula>$E14=""</formula>
    </cfRule>
  </conditionalFormatting>
  <conditionalFormatting sqref="K14:K18">
    <cfRule type="expression" dxfId="4756" priority="501">
      <formula>$C14&lt;$E$3</formula>
    </cfRule>
  </conditionalFormatting>
  <conditionalFormatting sqref="K14:K18">
    <cfRule type="expression" dxfId="4755" priority="500">
      <formula>$E14=""</formula>
    </cfRule>
  </conditionalFormatting>
  <conditionalFormatting sqref="K14:K20">
    <cfRule type="expression" dxfId="4754" priority="498">
      <formula>$C14&lt;$E$3</formula>
    </cfRule>
  </conditionalFormatting>
  <conditionalFormatting sqref="K14:K20">
    <cfRule type="expression" dxfId="4753" priority="495">
      <formula>$C14=$E$3</formula>
    </cfRule>
    <cfRule type="expression" dxfId="4752" priority="496">
      <formula>$C14&lt;$E$3</formula>
    </cfRule>
    <cfRule type="cellIs" dxfId="4751" priority="497" operator="equal">
      <formula>0</formula>
    </cfRule>
    <cfRule type="expression" dxfId="4750" priority="499">
      <formula>$C14&gt;$E$3</formula>
    </cfRule>
  </conditionalFormatting>
  <conditionalFormatting sqref="K14:K20">
    <cfRule type="expression" dxfId="4749" priority="494">
      <formula>$E14=""</formula>
    </cfRule>
  </conditionalFormatting>
  <conditionalFormatting sqref="K14:K20">
    <cfRule type="expression" dxfId="4748" priority="493">
      <formula>$E14=""</formula>
    </cfRule>
  </conditionalFormatting>
  <conditionalFormatting sqref="K14:K20">
    <cfRule type="expression" dxfId="4747" priority="492">
      <formula>$E14=""</formula>
    </cfRule>
  </conditionalFormatting>
  <conditionalFormatting sqref="K23:K29">
    <cfRule type="cellIs" dxfId="4746" priority="491" stopIfTrue="1" operator="lessThan">
      <formula>0</formula>
    </cfRule>
  </conditionalFormatting>
  <conditionalFormatting sqref="K23:K29">
    <cfRule type="expression" dxfId="4745" priority="489">
      <formula>$C23&lt;$E$3</formula>
    </cfRule>
  </conditionalFormatting>
  <conditionalFormatting sqref="K23:K29">
    <cfRule type="expression" dxfId="4744" priority="486">
      <formula>$C23=$E$3</formula>
    </cfRule>
    <cfRule type="expression" dxfId="4743" priority="487">
      <formula>$C23&lt;$E$3</formula>
    </cfRule>
    <cfRule type="cellIs" dxfId="4742" priority="488" operator="equal">
      <formula>0</formula>
    </cfRule>
    <cfRule type="expression" dxfId="4741" priority="490">
      <formula>$C23&gt;$E$3</formula>
    </cfRule>
  </conditionalFormatting>
  <conditionalFormatting sqref="K23:K29">
    <cfRule type="expression" dxfId="4740" priority="485">
      <formula>$E23=""</formula>
    </cfRule>
  </conditionalFormatting>
  <conditionalFormatting sqref="K23:K29">
    <cfRule type="expression" dxfId="4739" priority="484">
      <formula>$E23=""</formula>
    </cfRule>
  </conditionalFormatting>
  <conditionalFormatting sqref="K23:K29">
    <cfRule type="expression" dxfId="4738" priority="483">
      <formula>$E23=""</formula>
    </cfRule>
  </conditionalFormatting>
  <conditionalFormatting sqref="K28">
    <cfRule type="expression" dxfId="4737" priority="482">
      <formula>$C28&lt;$E$3</formula>
    </cfRule>
  </conditionalFormatting>
  <conditionalFormatting sqref="K28">
    <cfRule type="expression" dxfId="4736" priority="478">
      <formula>$C28=$E$3</formula>
    </cfRule>
    <cfRule type="expression" dxfId="4735" priority="479">
      <formula>$C28&lt;$E$3</formula>
    </cfRule>
    <cfRule type="cellIs" dxfId="4734" priority="480" operator="equal">
      <formula>0</formula>
    </cfRule>
    <cfRule type="expression" dxfId="4733" priority="481">
      <formula>$C28&gt;$E$3</formula>
    </cfRule>
  </conditionalFormatting>
  <conditionalFormatting sqref="K28">
    <cfRule type="expression" dxfId="4732" priority="477">
      <formula>$C28&lt;$E$3</formula>
    </cfRule>
  </conditionalFormatting>
  <conditionalFormatting sqref="K28">
    <cfRule type="expression" dxfId="4731" priority="473">
      <formula>$C28=$E$3</formula>
    </cfRule>
    <cfRule type="expression" dxfId="4730" priority="474">
      <formula>$C28&lt;$E$3</formula>
    </cfRule>
    <cfRule type="cellIs" dxfId="4729" priority="475" operator="equal">
      <formula>0</formula>
    </cfRule>
    <cfRule type="expression" dxfId="4728" priority="476">
      <formula>$C28&gt;$E$3</formula>
    </cfRule>
  </conditionalFormatting>
  <conditionalFormatting sqref="K28">
    <cfRule type="expression" dxfId="4727" priority="472">
      <formula>$C28&lt;$E$3</formula>
    </cfRule>
  </conditionalFormatting>
  <conditionalFormatting sqref="K28">
    <cfRule type="expression" dxfId="4726" priority="468">
      <formula>$C28=$E$3</formula>
    </cfRule>
    <cfRule type="expression" dxfId="4725" priority="469">
      <formula>$C28&lt;$E$3</formula>
    </cfRule>
    <cfRule type="cellIs" dxfId="4724" priority="470" operator="equal">
      <formula>0</formula>
    </cfRule>
    <cfRule type="expression" dxfId="4723" priority="471">
      <formula>$C28&gt;$E$3</formula>
    </cfRule>
  </conditionalFormatting>
  <conditionalFormatting sqref="K28">
    <cfRule type="expression" dxfId="4722" priority="467">
      <formula>$C28&lt;$E$3</formula>
    </cfRule>
  </conditionalFormatting>
  <conditionalFormatting sqref="K28">
    <cfRule type="expression" dxfId="4721" priority="463">
      <formula>$C28=$E$3</formula>
    </cfRule>
    <cfRule type="expression" dxfId="4720" priority="464">
      <formula>$C28&lt;$E$3</formula>
    </cfRule>
    <cfRule type="cellIs" dxfId="4719" priority="465" operator="equal">
      <formula>0</formula>
    </cfRule>
    <cfRule type="expression" dxfId="4718" priority="466">
      <formula>$C28&gt;$E$3</formula>
    </cfRule>
  </conditionalFormatting>
  <conditionalFormatting sqref="K28">
    <cfRule type="expression" dxfId="4717" priority="462">
      <formula>$E28=""</formula>
    </cfRule>
  </conditionalFormatting>
  <conditionalFormatting sqref="K28">
    <cfRule type="expression" dxfId="4716" priority="461">
      <formula>$C28&lt;$E$3</formula>
    </cfRule>
  </conditionalFormatting>
  <conditionalFormatting sqref="K28">
    <cfRule type="expression" dxfId="4715" priority="460">
      <formula>$E28=""</formula>
    </cfRule>
  </conditionalFormatting>
  <conditionalFormatting sqref="K28">
    <cfRule type="expression" dxfId="4714" priority="459">
      <formula>$E28=""</formula>
    </cfRule>
  </conditionalFormatting>
  <conditionalFormatting sqref="K28">
    <cfRule type="expression" dxfId="4713" priority="458">
      <formula>$C28&lt;$E$3</formula>
    </cfRule>
  </conditionalFormatting>
  <conditionalFormatting sqref="K28">
    <cfRule type="expression" dxfId="4712" priority="457">
      <formula>$E28=""</formula>
    </cfRule>
  </conditionalFormatting>
  <conditionalFormatting sqref="K28">
    <cfRule type="expression" dxfId="4711" priority="456">
      <formula>$C28&lt;$E$3</formula>
    </cfRule>
  </conditionalFormatting>
  <conditionalFormatting sqref="K28">
    <cfRule type="expression" dxfId="4710" priority="455">
      <formula>$E28=""</formula>
    </cfRule>
  </conditionalFormatting>
  <conditionalFormatting sqref="K28">
    <cfRule type="expression" dxfId="4709" priority="454">
      <formula>$C28&lt;$E$3</formula>
    </cfRule>
  </conditionalFormatting>
  <conditionalFormatting sqref="K28">
    <cfRule type="expression" dxfId="4708" priority="453">
      <formula>$E28=""</formula>
    </cfRule>
  </conditionalFormatting>
  <conditionalFormatting sqref="K28">
    <cfRule type="expression" dxfId="4707" priority="452">
      <formula>$C28&lt;$E$3</formula>
    </cfRule>
  </conditionalFormatting>
  <conditionalFormatting sqref="K28">
    <cfRule type="expression" dxfId="4706" priority="448">
      <formula>$C28=$E$3</formula>
    </cfRule>
    <cfRule type="expression" dxfId="4705" priority="449">
      <formula>$C28&lt;$E$3</formula>
    </cfRule>
    <cfRule type="cellIs" dxfId="4704" priority="450" operator="equal">
      <formula>0</formula>
    </cfRule>
    <cfRule type="expression" dxfId="4703" priority="451">
      <formula>$C28&gt;$E$3</formula>
    </cfRule>
  </conditionalFormatting>
  <conditionalFormatting sqref="K28">
    <cfRule type="expression" dxfId="4702" priority="447">
      <formula>$C28&lt;$E$3</formula>
    </cfRule>
  </conditionalFormatting>
  <conditionalFormatting sqref="K28">
    <cfRule type="expression" dxfId="4701" priority="443">
      <formula>$C28=$E$3</formula>
    </cfRule>
    <cfRule type="expression" dxfId="4700" priority="444">
      <formula>$C28&lt;$E$3</formula>
    </cfRule>
    <cfRule type="cellIs" dxfId="4699" priority="445" operator="equal">
      <formula>0</formula>
    </cfRule>
    <cfRule type="expression" dxfId="4698" priority="446">
      <formula>$C28&gt;$E$3</formula>
    </cfRule>
  </conditionalFormatting>
  <conditionalFormatting sqref="K28">
    <cfRule type="expression" dxfId="4697" priority="442">
      <formula>$C28&lt;$E$3</formula>
    </cfRule>
  </conditionalFormatting>
  <conditionalFormatting sqref="K28">
    <cfRule type="expression" dxfId="4696" priority="438">
      <formula>$C28=$E$3</formula>
    </cfRule>
    <cfRule type="expression" dxfId="4695" priority="439">
      <formula>$C28&lt;$E$3</formula>
    </cfRule>
    <cfRule type="cellIs" dxfId="4694" priority="440" operator="equal">
      <formula>0</formula>
    </cfRule>
    <cfRule type="expression" dxfId="4693" priority="441">
      <formula>$C28&gt;$E$3</formula>
    </cfRule>
  </conditionalFormatting>
  <conditionalFormatting sqref="K28">
    <cfRule type="expression" dxfId="4692" priority="437">
      <formula>$C28&lt;$E$3</formula>
    </cfRule>
  </conditionalFormatting>
  <conditionalFormatting sqref="K28">
    <cfRule type="expression" dxfId="4691" priority="433">
      <formula>$C28=$E$3</formula>
    </cfRule>
    <cfRule type="expression" dxfId="4690" priority="434">
      <formula>$C28&lt;$E$3</formula>
    </cfRule>
    <cfRule type="cellIs" dxfId="4689" priority="435" operator="equal">
      <formula>0</formula>
    </cfRule>
    <cfRule type="expression" dxfId="4688" priority="436">
      <formula>$C28&gt;$E$3</formula>
    </cfRule>
  </conditionalFormatting>
  <conditionalFormatting sqref="K28">
    <cfRule type="expression" dxfId="4687" priority="432">
      <formula>$E28=""</formula>
    </cfRule>
  </conditionalFormatting>
  <conditionalFormatting sqref="K28">
    <cfRule type="expression" dxfId="4686" priority="431">
      <formula>$C28&lt;$E$3</formula>
    </cfRule>
  </conditionalFormatting>
  <conditionalFormatting sqref="K28">
    <cfRule type="expression" dxfId="4685" priority="430">
      <formula>$E28=""</formula>
    </cfRule>
  </conditionalFormatting>
  <conditionalFormatting sqref="K28">
    <cfRule type="expression" dxfId="4684" priority="429">
      <formula>$E28=""</formula>
    </cfRule>
  </conditionalFormatting>
  <conditionalFormatting sqref="K28">
    <cfRule type="expression" dxfId="4683" priority="428">
      <formula>$C28&lt;$E$3</formula>
    </cfRule>
  </conditionalFormatting>
  <conditionalFormatting sqref="K28">
    <cfRule type="expression" dxfId="4682" priority="427">
      <formula>$E28=""</formula>
    </cfRule>
  </conditionalFormatting>
  <conditionalFormatting sqref="K28">
    <cfRule type="expression" dxfId="4681" priority="426">
      <formula>$C28&lt;$E$3</formula>
    </cfRule>
  </conditionalFormatting>
  <conditionalFormatting sqref="K28">
    <cfRule type="expression" dxfId="4680" priority="425">
      <formula>$E28=""</formula>
    </cfRule>
  </conditionalFormatting>
  <conditionalFormatting sqref="K28">
    <cfRule type="expression" dxfId="4679" priority="424">
      <formula>$C28&lt;$E$3</formula>
    </cfRule>
  </conditionalFormatting>
  <conditionalFormatting sqref="K28">
    <cfRule type="expression" dxfId="4678" priority="423">
      <formula>$E28=""</formula>
    </cfRule>
  </conditionalFormatting>
  <conditionalFormatting sqref="K23:K27">
    <cfRule type="expression" dxfId="4677" priority="422">
      <formula>$C23&lt;$E$3</formula>
    </cfRule>
  </conditionalFormatting>
  <conditionalFormatting sqref="K23:K27">
    <cfRule type="expression" dxfId="4676" priority="418">
      <formula>$C23=$E$3</formula>
    </cfRule>
    <cfRule type="expression" dxfId="4675" priority="419">
      <formula>$C23&lt;$E$3</formula>
    </cfRule>
    <cfRule type="cellIs" dxfId="4674" priority="420" operator="equal">
      <formula>0</formula>
    </cfRule>
    <cfRule type="expression" dxfId="4673" priority="421">
      <formula>$C23&gt;$E$3</formula>
    </cfRule>
  </conditionalFormatting>
  <conditionalFormatting sqref="K23:K27">
    <cfRule type="expression" dxfId="4672" priority="417">
      <formula>$C23&lt;$E$3</formula>
    </cfRule>
  </conditionalFormatting>
  <conditionalFormatting sqref="K23:K27">
    <cfRule type="expression" dxfId="4671" priority="413">
      <formula>$C23=$E$3</formula>
    </cfRule>
    <cfRule type="expression" dxfId="4670" priority="414">
      <formula>$C23&lt;$E$3</formula>
    </cfRule>
    <cfRule type="cellIs" dxfId="4669" priority="415" operator="equal">
      <formula>0</formula>
    </cfRule>
    <cfRule type="expression" dxfId="4668" priority="416">
      <formula>$C23&gt;$E$3</formula>
    </cfRule>
  </conditionalFormatting>
  <conditionalFormatting sqref="K23:K27">
    <cfRule type="expression" dxfId="4667" priority="412">
      <formula>$C23&lt;$E$3</formula>
    </cfRule>
  </conditionalFormatting>
  <conditionalFormatting sqref="K23:K27">
    <cfRule type="expression" dxfId="4666" priority="408">
      <formula>$C23=$E$3</formula>
    </cfRule>
    <cfRule type="expression" dxfId="4665" priority="409">
      <formula>$C23&lt;$E$3</formula>
    </cfRule>
    <cfRule type="cellIs" dxfId="4664" priority="410" operator="equal">
      <formula>0</formula>
    </cfRule>
    <cfRule type="expression" dxfId="4663" priority="411">
      <formula>$C23&gt;$E$3</formula>
    </cfRule>
  </conditionalFormatting>
  <conditionalFormatting sqref="K23:K27">
    <cfRule type="expression" dxfId="4662" priority="407">
      <formula>$C23&lt;$E$3</formula>
    </cfRule>
  </conditionalFormatting>
  <conditionalFormatting sqref="K23:K27">
    <cfRule type="expression" dxfId="4661" priority="403">
      <formula>$C23=$E$3</formula>
    </cfRule>
    <cfRule type="expression" dxfId="4660" priority="404">
      <formula>$C23&lt;$E$3</formula>
    </cfRule>
    <cfRule type="cellIs" dxfId="4659" priority="405" operator="equal">
      <formula>0</formula>
    </cfRule>
    <cfRule type="expression" dxfId="4658" priority="406">
      <formula>$C23&gt;$E$3</formula>
    </cfRule>
  </conditionalFormatting>
  <conditionalFormatting sqref="K23:K27">
    <cfRule type="expression" dxfId="4657" priority="402">
      <formula>$E23=""</formula>
    </cfRule>
  </conditionalFormatting>
  <conditionalFormatting sqref="K23:K27">
    <cfRule type="expression" dxfId="4656" priority="401">
      <formula>$C23&lt;$E$3</formula>
    </cfRule>
  </conditionalFormatting>
  <conditionalFormatting sqref="K23:K27">
    <cfRule type="expression" dxfId="4655" priority="400">
      <formula>$E23=""</formula>
    </cfRule>
  </conditionalFormatting>
  <conditionalFormatting sqref="K23:K27">
    <cfRule type="expression" dxfId="4654" priority="399">
      <formula>$E23=""</formula>
    </cfRule>
  </conditionalFormatting>
  <conditionalFormatting sqref="K23:K27">
    <cfRule type="expression" dxfId="4653" priority="398">
      <formula>$C23&lt;$E$3</formula>
    </cfRule>
  </conditionalFormatting>
  <conditionalFormatting sqref="K23:K27">
    <cfRule type="expression" dxfId="4652" priority="397">
      <formula>$E23=""</formula>
    </cfRule>
  </conditionalFormatting>
  <conditionalFormatting sqref="K23:K27">
    <cfRule type="expression" dxfId="4651" priority="396">
      <formula>$C23&lt;$E$3</formula>
    </cfRule>
  </conditionalFormatting>
  <conditionalFormatting sqref="K23:K27">
    <cfRule type="expression" dxfId="4650" priority="395">
      <formula>$E23=""</formula>
    </cfRule>
  </conditionalFormatting>
  <conditionalFormatting sqref="K23:K27">
    <cfRule type="expression" dxfId="4649" priority="394">
      <formula>$C23&lt;$E$3</formula>
    </cfRule>
  </conditionalFormatting>
  <conditionalFormatting sqref="K23:K27">
    <cfRule type="expression" dxfId="4648" priority="393">
      <formula>$E23=""</formula>
    </cfRule>
  </conditionalFormatting>
  <conditionalFormatting sqref="K23:K27">
    <cfRule type="expression" dxfId="4647" priority="392">
      <formula>$C23&lt;$E$3</formula>
    </cfRule>
  </conditionalFormatting>
  <conditionalFormatting sqref="K23:K27">
    <cfRule type="expression" dxfId="4646" priority="388">
      <formula>$C23=$E$3</formula>
    </cfRule>
    <cfRule type="expression" dxfId="4645" priority="389">
      <formula>$C23&lt;$E$3</formula>
    </cfRule>
    <cfRule type="cellIs" dxfId="4644" priority="390" operator="equal">
      <formula>0</formula>
    </cfRule>
    <cfRule type="expression" dxfId="4643" priority="391">
      <formula>$C23&gt;$E$3</formula>
    </cfRule>
  </conditionalFormatting>
  <conditionalFormatting sqref="K23:K27">
    <cfRule type="expression" dxfId="4642" priority="387">
      <formula>$C23&lt;$E$3</formula>
    </cfRule>
  </conditionalFormatting>
  <conditionalFormatting sqref="K23:K27">
    <cfRule type="expression" dxfId="4641" priority="383">
      <formula>$C23=$E$3</formula>
    </cfRule>
    <cfRule type="expression" dxfId="4640" priority="384">
      <formula>$C23&lt;$E$3</formula>
    </cfRule>
    <cfRule type="cellIs" dxfId="4639" priority="385" operator="equal">
      <formula>0</formula>
    </cfRule>
    <cfRule type="expression" dxfId="4638" priority="386">
      <formula>$C23&gt;$E$3</formula>
    </cfRule>
  </conditionalFormatting>
  <conditionalFormatting sqref="K23:K27">
    <cfRule type="expression" dxfId="4637" priority="382">
      <formula>$C23&lt;$E$3</formula>
    </cfRule>
  </conditionalFormatting>
  <conditionalFormatting sqref="K23:K27">
    <cfRule type="expression" dxfId="4636" priority="378">
      <formula>$C23=$E$3</formula>
    </cfRule>
    <cfRule type="expression" dxfId="4635" priority="379">
      <formula>$C23&lt;$E$3</formula>
    </cfRule>
    <cfRule type="cellIs" dxfId="4634" priority="380" operator="equal">
      <formula>0</formula>
    </cfRule>
    <cfRule type="expression" dxfId="4633" priority="381">
      <formula>$C23&gt;$E$3</formula>
    </cfRule>
  </conditionalFormatting>
  <conditionalFormatting sqref="K23:K27">
    <cfRule type="expression" dxfId="4632" priority="377">
      <formula>$C23&lt;$E$3</formula>
    </cfRule>
  </conditionalFormatting>
  <conditionalFormatting sqref="K23:K27">
    <cfRule type="expression" dxfId="4631" priority="373">
      <formula>$C23=$E$3</formula>
    </cfRule>
    <cfRule type="expression" dxfId="4630" priority="374">
      <formula>$C23&lt;$E$3</formula>
    </cfRule>
    <cfRule type="cellIs" dxfId="4629" priority="375" operator="equal">
      <formula>0</formula>
    </cfRule>
    <cfRule type="expression" dxfId="4628" priority="376">
      <formula>$C23&gt;$E$3</formula>
    </cfRule>
  </conditionalFormatting>
  <conditionalFormatting sqref="K23:K27">
    <cfRule type="expression" dxfId="4627" priority="372">
      <formula>$E23=""</formula>
    </cfRule>
  </conditionalFormatting>
  <conditionalFormatting sqref="K23:K27">
    <cfRule type="expression" dxfId="4626" priority="371">
      <formula>$C23&lt;$E$3</formula>
    </cfRule>
  </conditionalFormatting>
  <conditionalFormatting sqref="K23:K27">
    <cfRule type="expression" dxfId="4625" priority="370">
      <formula>$E23=""</formula>
    </cfRule>
  </conditionalFormatting>
  <conditionalFormatting sqref="K23:K27">
    <cfRule type="expression" dxfId="4624" priority="369">
      <formula>$E23=""</formula>
    </cfRule>
  </conditionalFormatting>
  <conditionalFormatting sqref="K23:K27">
    <cfRule type="expression" dxfId="4623" priority="368">
      <formula>$C23&lt;$E$3</formula>
    </cfRule>
  </conditionalFormatting>
  <conditionalFormatting sqref="K23:K27">
    <cfRule type="expression" dxfId="4622" priority="367">
      <formula>$E23=""</formula>
    </cfRule>
  </conditionalFormatting>
  <conditionalFormatting sqref="K23:K27">
    <cfRule type="expression" dxfId="4621" priority="366">
      <formula>$C23&lt;$E$3</formula>
    </cfRule>
  </conditionalFormatting>
  <conditionalFormatting sqref="K23:K27">
    <cfRule type="expression" dxfId="4620" priority="365">
      <formula>$E23=""</formula>
    </cfRule>
  </conditionalFormatting>
  <conditionalFormatting sqref="K23:K27">
    <cfRule type="expression" dxfId="4619" priority="364">
      <formula>$C23&lt;$E$3</formula>
    </cfRule>
  </conditionalFormatting>
  <conditionalFormatting sqref="K23:K27">
    <cfRule type="expression" dxfId="4618" priority="363">
      <formula>$E23=""</formula>
    </cfRule>
  </conditionalFormatting>
  <conditionalFormatting sqref="K23:K29">
    <cfRule type="expression" dxfId="4617" priority="361">
      <formula>$C23&lt;$E$3</formula>
    </cfRule>
  </conditionalFormatting>
  <conditionalFormatting sqref="K23:K29">
    <cfRule type="expression" dxfId="4616" priority="358">
      <formula>$C23=$E$3</formula>
    </cfRule>
    <cfRule type="expression" dxfId="4615" priority="359">
      <formula>$C23&lt;$E$3</formula>
    </cfRule>
    <cfRule type="cellIs" dxfId="4614" priority="360" operator="equal">
      <formula>0</formula>
    </cfRule>
    <cfRule type="expression" dxfId="4613" priority="362">
      <formula>$C23&gt;$E$3</formula>
    </cfRule>
  </conditionalFormatting>
  <conditionalFormatting sqref="K23:K29">
    <cfRule type="expression" dxfId="4612" priority="357">
      <formula>$E23=""</formula>
    </cfRule>
  </conditionalFormatting>
  <conditionalFormatting sqref="K23:K29">
    <cfRule type="expression" dxfId="4611" priority="356">
      <formula>$E23=""</formula>
    </cfRule>
  </conditionalFormatting>
  <conditionalFormatting sqref="K23:K29">
    <cfRule type="expression" dxfId="4610" priority="355">
      <formula>$E23=""</formula>
    </cfRule>
  </conditionalFormatting>
  <conditionalFormatting sqref="K32:K38">
    <cfRule type="cellIs" dxfId="4609" priority="354" stopIfTrue="1" operator="lessThan">
      <formula>0</formula>
    </cfRule>
  </conditionalFormatting>
  <conditionalFormatting sqref="K32:K38">
    <cfRule type="expression" dxfId="4608" priority="352">
      <formula>$C32&lt;$E$3</formula>
    </cfRule>
  </conditionalFormatting>
  <conditionalFormatting sqref="K32:K38">
    <cfRule type="expression" dxfId="4607" priority="349">
      <formula>$C32=$E$3</formula>
    </cfRule>
    <cfRule type="expression" dxfId="4606" priority="350">
      <formula>$C32&lt;$E$3</formula>
    </cfRule>
    <cfRule type="cellIs" dxfId="4605" priority="351" operator="equal">
      <formula>0</formula>
    </cfRule>
    <cfRule type="expression" dxfId="4604" priority="353">
      <formula>$C32&gt;$E$3</formula>
    </cfRule>
  </conditionalFormatting>
  <conditionalFormatting sqref="K32:K38">
    <cfRule type="expression" dxfId="4603" priority="348">
      <formula>$E32=""</formula>
    </cfRule>
  </conditionalFormatting>
  <conditionalFormatting sqref="K32:K38">
    <cfRule type="expression" dxfId="4602" priority="347">
      <formula>$E32=""</formula>
    </cfRule>
  </conditionalFormatting>
  <conditionalFormatting sqref="K32:K38">
    <cfRule type="expression" dxfId="4601" priority="346">
      <formula>$E32=""</formula>
    </cfRule>
  </conditionalFormatting>
  <conditionalFormatting sqref="K37">
    <cfRule type="expression" dxfId="4600" priority="345">
      <formula>$C37&lt;$E$3</formula>
    </cfRule>
  </conditionalFormatting>
  <conditionalFormatting sqref="K37">
    <cfRule type="expression" dxfId="4599" priority="341">
      <formula>$C37=$E$3</formula>
    </cfRule>
    <cfRule type="expression" dxfId="4598" priority="342">
      <formula>$C37&lt;$E$3</formula>
    </cfRule>
    <cfRule type="cellIs" dxfId="4597" priority="343" operator="equal">
      <formula>0</formula>
    </cfRule>
    <cfRule type="expression" dxfId="4596" priority="344">
      <formula>$C37&gt;$E$3</formula>
    </cfRule>
  </conditionalFormatting>
  <conditionalFormatting sqref="K37">
    <cfRule type="expression" dxfId="4595" priority="340">
      <formula>$C37&lt;$E$3</formula>
    </cfRule>
  </conditionalFormatting>
  <conditionalFormatting sqref="K37">
    <cfRule type="expression" dxfId="4594" priority="336">
      <formula>$C37=$E$3</formula>
    </cfRule>
    <cfRule type="expression" dxfId="4593" priority="337">
      <formula>$C37&lt;$E$3</formula>
    </cfRule>
    <cfRule type="cellIs" dxfId="4592" priority="338" operator="equal">
      <formula>0</formula>
    </cfRule>
    <cfRule type="expression" dxfId="4591" priority="339">
      <formula>$C37&gt;$E$3</formula>
    </cfRule>
  </conditionalFormatting>
  <conditionalFormatting sqref="K37">
    <cfRule type="expression" dxfId="4590" priority="325">
      <formula>$E37=""</formula>
    </cfRule>
  </conditionalFormatting>
  <conditionalFormatting sqref="K37">
    <cfRule type="expression" dxfId="4589" priority="324">
      <formula>$C37&lt;$E$3</formula>
    </cfRule>
  </conditionalFormatting>
  <conditionalFormatting sqref="K37">
    <cfRule type="expression" dxfId="4588" priority="323">
      <formula>$E37=""</formula>
    </cfRule>
  </conditionalFormatting>
  <conditionalFormatting sqref="K37">
    <cfRule type="expression" dxfId="4587" priority="322">
      <formula>$E37=""</formula>
    </cfRule>
  </conditionalFormatting>
  <conditionalFormatting sqref="K37">
    <cfRule type="expression" dxfId="4586" priority="321">
      <formula>$C37&lt;$E$3</formula>
    </cfRule>
  </conditionalFormatting>
  <conditionalFormatting sqref="K37">
    <cfRule type="expression" dxfId="4585" priority="320">
      <formula>$E37=""</formula>
    </cfRule>
  </conditionalFormatting>
  <conditionalFormatting sqref="K37">
    <cfRule type="expression" dxfId="4584" priority="319">
      <formula>$C37&lt;$E$3</formula>
    </cfRule>
  </conditionalFormatting>
  <conditionalFormatting sqref="K37">
    <cfRule type="expression" dxfId="4583" priority="318">
      <formula>$E37=""</formula>
    </cfRule>
  </conditionalFormatting>
  <conditionalFormatting sqref="K37">
    <cfRule type="expression" dxfId="4582" priority="317">
      <formula>$C37&lt;$E$3</formula>
    </cfRule>
  </conditionalFormatting>
  <conditionalFormatting sqref="K37">
    <cfRule type="expression" dxfId="4581" priority="316">
      <formula>$E37=""</formula>
    </cfRule>
  </conditionalFormatting>
  <conditionalFormatting sqref="K37">
    <cfRule type="expression" dxfId="4580" priority="315">
      <formula>$C37&lt;$E$3</formula>
    </cfRule>
  </conditionalFormatting>
  <conditionalFormatting sqref="K37">
    <cfRule type="expression" dxfId="4579" priority="311">
      <formula>$C37=$E$3</formula>
    </cfRule>
    <cfRule type="expression" dxfId="4578" priority="312">
      <formula>$C37&lt;$E$3</formula>
    </cfRule>
    <cfRule type="cellIs" dxfId="4577" priority="313" operator="equal">
      <formula>0</formula>
    </cfRule>
    <cfRule type="expression" dxfId="4576" priority="314">
      <formula>$C37&gt;$E$3</formula>
    </cfRule>
  </conditionalFormatting>
  <conditionalFormatting sqref="K37">
    <cfRule type="expression" dxfId="4575" priority="310">
      <formula>$C37&lt;$E$3</formula>
    </cfRule>
  </conditionalFormatting>
  <conditionalFormatting sqref="K37">
    <cfRule type="expression" dxfId="4574" priority="306">
      <formula>$C37=$E$3</formula>
    </cfRule>
    <cfRule type="expression" dxfId="4573" priority="307">
      <formula>$C37&lt;$E$3</formula>
    </cfRule>
    <cfRule type="cellIs" dxfId="4572" priority="308" operator="equal">
      <formula>0</formula>
    </cfRule>
    <cfRule type="expression" dxfId="4571" priority="309">
      <formula>$C37&gt;$E$3</formula>
    </cfRule>
  </conditionalFormatting>
  <conditionalFormatting sqref="K37">
    <cfRule type="expression" dxfId="4570" priority="295">
      <formula>$E37=""</formula>
    </cfRule>
  </conditionalFormatting>
  <conditionalFormatting sqref="K37">
    <cfRule type="expression" dxfId="4569" priority="294">
      <formula>$C37&lt;$E$3</formula>
    </cfRule>
  </conditionalFormatting>
  <conditionalFormatting sqref="K37">
    <cfRule type="expression" dxfId="4568" priority="293">
      <formula>$E37=""</formula>
    </cfRule>
  </conditionalFormatting>
  <conditionalFormatting sqref="K37">
    <cfRule type="expression" dxfId="4567" priority="292">
      <formula>$E37=""</formula>
    </cfRule>
  </conditionalFormatting>
  <conditionalFormatting sqref="K37">
    <cfRule type="expression" dxfId="4566" priority="291">
      <formula>$C37&lt;$E$3</formula>
    </cfRule>
  </conditionalFormatting>
  <conditionalFormatting sqref="K37">
    <cfRule type="expression" dxfId="4565" priority="290">
      <formula>$E37=""</formula>
    </cfRule>
  </conditionalFormatting>
  <conditionalFormatting sqref="K37">
    <cfRule type="expression" dxfId="4564" priority="289">
      <formula>$C37&lt;$E$3</formula>
    </cfRule>
  </conditionalFormatting>
  <conditionalFormatting sqref="K37">
    <cfRule type="expression" dxfId="4563" priority="288">
      <formula>$E37=""</formula>
    </cfRule>
  </conditionalFormatting>
  <conditionalFormatting sqref="K37">
    <cfRule type="expression" dxfId="4562" priority="287">
      <formula>$C37&lt;$E$3</formula>
    </cfRule>
  </conditionalFormatting>
  <conditionalFormatting sqref="K37">
    <cfRule type="expression" dxfId="4561" priority="286">
      <formula>$E37=""</formula>
    </cfRule>
  </conditionalFormatting>
  <conditionalFormatting sqref="K32:K36">
    <cfRule type="expression" dxfId="4560" priority="285">
      <formula>$C32&lt;$E$3</formula>
    </cfRule>
  </conditionalFormatting>
  <conditionalFormatting sqref="K32:K36">
    <cfRule type="expression" dxfId="4559" priority="281">
      <formula>$C32=$E$3</formula>
    </cfRule>
    <cfRule type="expression" dxfId="4558" priority="282">
      <formula>$C32&lt;$E$3</formula>
    </cfRule>
    <cfRule type="cellIs" dxfId="4557" priority="283" operator="equal">
      <formula>0</formula>
    </cfRule>
    <cfRule type="expression" dxfId="4556" priority="284">
      <formula>$C32&gt;$E$3</formula>
    </cfRule>
  </conditionalFormatting>
  <conditionalFormatting sqref="K32:K36">
    <cfRule type="expression" dxfId="4555" priority="280">
      <formula>$C32&lt;$E$3</formula>
    </cfRule>
  </conditionalFormatting>
  <conditionalFormatting sqref="K32:K36">
    <cfRule type="expression" dxfId="4554" priority="276">
      <formula>$C32=$E$3</formula>
    </cfRule>
    <cfRule type="expression" dxfId="4553" priority="277">
      <formula>$C32&lt;$E$3</formula>
    </cfRule>
    <cfRule type="cellIs" dxfId="4552" priority="278" operator="equal">
      <formula>0</formula>
    </cfRule>
    <cfRule type="expression" dxfId="4551" priority="279">
      <formula>$C32&gt;$E$3</formula>
    </cfRule>
  </conditionalFormatting>
  <conditionalFormatting sqref="K32:K36">
    <cfRule type="expression" dxfId="4550" priority="265">
      <formula>$E32=""</formula>
    </cfRule>
  </conditionalFormatting>
  <conditionalFormatting sqref="K32:K36">
    <cfRule type="expression" dxfId="4549" priority="264">
      <formula>$C32&lt;$E$3</formula>
    </cfRule>
  </conditionalFormatting>
  <conditionalFormatting sqref="K32:K36">
    <cfRule type="expression" dxfId="4548" priority="263">
      <formula>$E32=""</formula>
    </cfRule>
  </conditionalFormatting>
  <conditionalFormatting sqref="K32:K36">
    <cfRule type="expression" dxfId="4547" priority="262">
      <formula>$E32=""</formula>
    </cfRule>
  </conditionalFormatting>
  <conditionalFormatting sqref="K32:K36">
    <cfRule type="expression" dxfId="4546" priority="261">
      <formula>$C32&lt;$E$3</formula>
    </cfRule>
  </conditionalFormatting>
  <conditionalFormatting sqref="K32:K36">
    <cfRule type="expression" dxfId="4545" priority="260">
      <formula>$E32=""</formula>
    </cfRule>
  </conditionalFormatting>
  <conditionalFormatting sqref="K32:K36">
    <cfRule type="expression" dxfId="4544" priority="259">
      <formula>$C32&lt;$E$3</formula>
    </cfRule>
  </conditionalFormatting>
  <conditionalFormatting sqref="K32:K36">
    <cfRule type="expression" dxfId="4543" priority="258">
      <formula>$E32=""</formula>
    </cfRule>
  </conditionalFormatting>
  <conditionalFormatting sqref="K32:K36">
    <cfRule type="expression" dxfId="4542" priority="257">
      <formula>$C32&lt;$E$3</formula>
    </cfRule>
  </conditionalFormatting>
  <conditionalFormatting sqref="K32:K36">
    <cfRule type="expression" dxfId="4541" priority="256">
      <formula>$E32=""</formula>
    </cfRule>
  </conditionalFormatting>
  <conditionalFormatting sqref="K32:K36">
    <cfRule type="expression" dxfId="4540" priority="255">
      <formula>$C32&lt;$E$3</formula>
    </cfRule>
  </conditionalFormatting>
  <conditionalFormatting sqref="K32:K36">
    <cfRule type="expression" dxfId="4539" priority="251">
      <formula>$C32=$E$3</formula>
    </cfRule>
    <cfRule type="expression" dxfId="4538" priority="252">
      <formula>$C32&lt;$E$3</formula>
    </cfRule>
    <cfRule type="cellIs" dxfId="4537" priority="253" operator="equal">
      <formula>0</formula>
    </cfRule>
    <cfRule type="expression" dxfId="4536" priority="254">
      <formula>$C32&gt;$E$3</formula>
    </cfRule>
  </conditionalFormatting>
  <conditionalFormatting sqref="K32:K36">
    <cfRule type="expression" dxfId="4535" priority="250">
      <formula>$C32&lt;$E$3</formula>
    </cfRule>
  </conditionalFormatting>
  <conditionalFormatting sqref="K32:K36">
    <cfRule type="expression" dxfId="4534" priority="246">
      <formula>$C32=$E$3</formula>
    </cfRule>
    <cfRule type="expression" dxfId="4533" priority="247">
      <formula>$C32&lt;$E$3</formula>
    </cfRule>
    <cfRule type="cellIs" dxfId="4532" priority="248" operator="equal">
      <formula>0</formula>
    </cfRule>
    <cfRule type="expression" dxfId="4531" priority="249">
      <formula>$C32&gt;$E$3</formula>
    </cfRule>
  </conditionalFormatting>
  <conditionalFormatting sqref="K32:K36">
    <cfRule type="expression" dxfId="4530" priority="245">
      <formula>$C32&lt;$E$3</formula>
    </cfRule>
  </conditionalFormatting>
  <conditionalFormatting sqref="K32:K36">
    <cfRule type="expression" dxfId="4529" priority="241">
      <formula>$C32=$E$3</formula>
    </cfRule>
    <cfRule type="expression" dxfId="4528" priority="242">
      <formula>$C32&lt;$E$3</formula>
    </cfRule>
    <cfRule type="cellIs" dxfId="4527" priority="243" operator="equal">
      <formula>0</formula>
    </cfRule>
    <cfRule type="expression" dxfId="4526" priority="244">
      <formula>$C32&gt;$E$3</formula>
    </cfRule>
  </conditionalFormatting>
  <conditionalFormatting sqref="K32:K36">
    <cfRule type="expression" dxfId="4525" priority="240">
      <formula>$C32&lt;$E$3</formula>
    </cfRule>
  </conditionalFormatting>
  <conditionalFormatting sqref="K32:K36">
    <cfRule type="expression" dxfId="4524" priority="236">
      <formula>$C32=$E$3</formula>
    </cfRule>
    <cfRule type="expression" dxfId="4523" priority="237">
      <formula>$C32&lt;$E$3</formula>
    </cfRule>
    <cfRule type="cellIs" dxfId="4522" priority="238" operator="equal">
      <formula>0</formula>
    </cfRule>
    <cfRule type="expression" dxfId="4521" priority="239">
      <formula>$C32&gt;$E$3</formula>
    </cfRule>
  </conditionalFormatting>
  <conditionalFormatting sqref="K32:K36">
    <cfRule type="expression" dxfId="4520" priority="235">
      <formula>$E32=""</formula>
    </cfRule>
  </conditionalFormatting>
  <conditionalFormatting sqref="K32:K36">
    <cfRule type="expression" dxfId="4519" priority="234">
      <formula>$C32&lt;$E$3</formula>
    </cfRule>
  </conditionalFormatting>
  <conditionalFormatting sqref="K32:K36">
    <cfRule type="expression" dxfId="4518" priority="233">
      <formula>$E32=""</formula>
    </cfRule>
  </conditionalFormatting>
  <conditionalFormatting sqref="K32:K36">
    <cfRule type="expression" dxfId="4517" priority="232">
      <formula>$E32=""</formula>
    </cfRule>
  </conditionalFormatting>
  <conditionalFormatting sqref="K32:K36">
    <cfRule type="expression" dxfId="4516" priority="231">
      <formula>$C32&lt;$E$3</formula>
    </cfRule>
  </conditionalFormatting>
  <conditionalFormatting sqref="K32:K36">
    <cfRule type="expression" dxfId="4515" priority="230">
      <formula>$E32=""</formula>
    </cfRule>
  </conditionalFormatting>
  <conditionalFormatting sqref="K32:K36">
    <cfRule type="expression" dxfId="4514" priority="229">
      <formula>$C32&lt;$E$3</formula>
    </cfRule>
  </conditionalFormatting>
  <conditionalFormatting sqref="K32:K36">
    <cfRule type="expression" dxfId="4513" priority="228">
      <formula>$E32=""</formula>
    </cfRule>
  </conditionalFormatting>
  <conditionalFormatting sqref="K32:K36">
    <cfRule type="expression" dxfId="4512" priority="227">
      <formula>$C32&lt;$E$3</formula>
    </cfRule>
  </conditionalFormatting>
  <conditionalFormatting sqref="K32:K36">
    <cfRule type="expression" dxfId="4511" priority="226">
      <formula>$E32=""</formula>
    </cfRule>
  </conditionalFormatting>
  <conditionalFormatting sqref="K32:K38">
    <cfRule type="expression" dxfId="4510" priority="224">
      <formula>$C32&lt;$E$3</formula>
    </cfRule>
  </conditionalFormatting>
  <conditionalFormatting sqref="K32:K38">
    <cfRule type="expression" dxfId="4509" priority="221">
      <formula>$C32=$E$3</formula>
    </cfRule>
    <cfRule type="expression" dxfId="4508" priority="222">
      <formula>$C32&lt;$E$3</formula>
    </cfRule>
    <cfRule type="cellIs" dxfId="4507" priority="223" operator="equal">
      <formula>0</formula>
    </cfRule>
    <cfRule type="expression" dxfId="4506" priority="225">
      <formula>$C32&gt;$E$3</formula>
    </cfRule>
  </conditionalFormatting>
  <conditionalFormatting sqref="K32:K38">
    <cfRule type="expression" dxfId="4505" priority="220">
      <formula>$E32=""</formula>
    </cfRule>
  </conditionalFormatting>
  <conditionalFormatting sqref="K32:K38">
    <cfRule type="expression" dxfId="4504" priority="219">
      <formula>$E32=""</formula>
    </cfRule>
  </conditionalFormatting>
  <conditionalFormatting sqref="K32:K38">
    <cfRule type="expression" dxfId="4503" priority="218">
      <formula>$E32=""</formula>
    </cfRule>
  </conditionalFormatting>
  <conditionalFormatting sqref="K41:K47">
    <cfRule type="cellIs" dxfId="4502" priority="217" stopIfTrue="1" operator="lessThan">
      <formula>0</formula>
    </cfRule>
  </conditionalFormatting>
  <conditionalFormatting sqref="K41:K47">
    <cfRule type="expression" dxfId="4501" priority="215">
      <formula>$C41&lt;$E$3</formula>
    </cfRule>
  </conditionalFormatting>
  <conditionalFormatting sqref="K41:K47">
    <cfRule type="expression" dxfId="4500" priority="212">
      <formula>$C41=$E$3</formula>
    </cfRule>
    <cfRule type="expression" dxfId="4499" priority="213">
      <formula>$C41&lt;$E$3</formula>
    </cfRule>
    <cfRule type="cellIs" dxfId="4498" priority="214" operator="equal">
      <formula>0</formula>
    </cfRule>
    <cfRule type="expression" dxfId="4497" priority="216">
      <formula>$C41&gt;$E$3</formula>
    </cfRule>
  </conditionalFormatting>
  <conditionalFormatting sqref="K41:K47">
    <cfRule type="expression" dxfId="4496" priority="211">
      <formula>$E41=""</formula>
    </cfRule>
  </conditionalFormatting>
  <conditionalFormatting sqref="K41:K47">
    <cfRule type="expression" dxfId="4495" priority="210">
      <formula>$E41=""</formula>
    </cfRule>
  </conditionalFormatting>
  <conditionalFormatting sqref="K41:K47">
    <cfRule type="expression" dxfId="4494" priority="209">
      <formula>$E41=""</formula>
    </cfRule>
  </conditionalFormatting>
  <conditionalFormatting sqref="K46">
    <cfRule type="expression" dxfId="4493" priority="208">
      <formula>$C46&lt;$E$3</formula>
    </cfRule>
  </conditionalFormatting>
  <conditionalFormatting sqref="K46">
    <cfRule type="expression" dxfId="4492" priority="204">
      <formula>$C46=$E$3</formula>
    </cfRule>
    <cfRule type="expression" dxfId="4491" priority="205">
      <formula>$C46&lt;$E$3</formula>
    </cfRule>
    <cfRule type="cellIs" dxfId="4490" priority="206" operator="equal">
      <formula>0</formula>
    </cfRule>
    <cfRule type="expression" dxfId="4489" priority="207">
      <formula>$C46&gt;$E$3</formula>
    </cfRule>
  </conditionalFormatting>
  <conditionalFormatting sqref="K46">
    <cfRule type="expression" dxfId="4488" priority="203">
      <formula>$C46&lt;$E$3</formula>
    </cfRule>
  </conditionalFormatting>
  <conditionalFormatting sqref="K46">
    <cfRule type="expression" dxfId="4487" priority="199">
      <formula>$C46=$E$3</formula>
    </cfRule>
    <cfRule type="expression" dxfId="4486" priority="200">
      <formula>$C46&lt;$E$3</formula>
    </cfRule>
    <cfRule type="cellIs" dxfId="4485" priority="201" operator="equal">
      <formula>0</formula>
    </cfRule>
    <cfRule type="expression" dxfId="4484" priority="202">
      <formula>$C46&gt;$E$3</formula>
    </cfRule>
  </conditionalFormatting>
  <conditionalFormatting sqref="K46">
    <cfRule type="expression" dxfId="4483" priority="198">
      <formula>$C46&lt;$E$3</formula>
    </cfRule>
  </conditionalFormatting>
  <conditionalFormatting sqref="K46">
    <cfRule type="expression" dxfId="4482" priority="194">
      <formula>$C46=$E$3</formula>
    </cfRule>
    <cfRule type="expression" dxfId="4481" priority="195">
      <formula>$C46&lt;$E$3</formula>
    </cfRule>
    <cfRule type="cellIs" dxfId="4480" priority="196" operator="equal">
      <formula>0</formula>
    </cfRule>
    <cfRule type="expression" dxfId="4479" priority="197">
      <formula>$C46&gt;$E$3</formula>
    </cfRule>
  </conditionalFormatting>
  <conditionalFormatting sqref="K46">
    <cfRule type="expression" dxfId="4478" priority="193">
      <formula>$C46&lt;$E$3</formula>
    </cfRule>
  </conditionalFormatting>
  <conditionalFormatting sqref="K46">
    <cfRule type="expression" dxfId="4477" priority="189">
      <formula>$C46=$E$3</formula>
    </cfRule>
    <cfRule type="expression" dxfId="4476" priority="190">
      <formula>$C46&lt;$E$3</formula>
    </cfRule>
    <cfRule type="cellIs" dxfId="4475" priority="191" operator="equal">
      <formula>0</formula>
    </cfRule>
    <cfRule type="expression" dxfId="4474" priority="192">
      <formula>$C46&gt;$E$3</formula>
    </cfRule>
  </conditionalFormatting>
  <conditionalFormatting sqref="K46">
    <cfRule type="expression" dxfId="4473" priority="188">
      <formula>$E46=""</formula>
    </cfRule>
  </conditionalFormatting>
  <conditionalFormatting sqref="K46">
    <cfRule type="expression" dxfId="4472" priority="187">
      <formula>$C46&lt;$E$3</formula>
    </cfRule>
  </conditionalFormatting>
  <conditionalFormatting sqref="K46">
    <cfRule type="expression" dxfId="4471" priority="186">
      <formula>$E46=""</formula>
    </cfRule>
  </conditionalFormatting>
  <conditionalFormatting sqref="K46">
    <cfRule type="expression" dxfId="4470" priority="185">
      <formula>$E46=""</formula>
    </cfRule>
  </conditionalFormatting>
  <conditionalFormatting sqref="K46">
    <cfRule type="expression" dxfId="4469" priority="184">
      <formula>$C46&lt;$E$3</formula>
    </cfRule>
  </conditionalFormatting>
  <conditionalFormatting sqref="K46">
    <cfRule type="expression" dxfId="4468" priority="183">
      <formula>$E46=""</formula>
    </cfRule>
  </conditionalFormatting>
  <conditionalFormatting sqref="K46">
    <cfRule type="expression" dxfId="4467" priority="182">
      <formula>$C46&lt;$E$3</formula>
    </cfRule>
  </conditionalFormatting>
  <conditionalFormatting sqref="K46">
    <cfRule type="expression" dxfId="4466" priority="181">
      <formula>$E46=""</formula>
    </cfRule>
  </conditionalFormatting>
  <conditionalFormatting sqref="K46">
    <cfRule type="expression" dxfId="4465" priority="180">
      <formula>$C46&lt;$E$3</formula>
    </cfRule>
  </conditionalFormatting>
  <conditionalFormatting sqref="K46">
    <cfRule type="expression" dxfId="4464" priority="179">
      <formula>$E46=""</formula>
    </cfRule>
  </conditionalFormatting>
  <conditionalFormatting sqref="K46">
    <cfRule type="expression" dxfId="4463" priority="178">
      <formula>$C46&lt;$E$3</formula>
    </cfRule>
  </conditionalFormatting>
  <conditionalFormatting sqref="K46">
    <cfRule type="expression" dxfId="4462" priority="174">
      <formula>$C46=$E$3</formula>
    </cfRule>
    <cfRule type="expression" dxfId="4461" priority="175">
      <formula>$C46&lt;$E$3</formula>
    </cfRule>
    <cfRule type="cellIs" dxfId="4460" priority="176" operator="equal">
      <formula>0</formula>
    </cfRule>
    <cfRule type="expression" dxfId="4459" priority="177">
      <formula>$C46&gt;$E$3</formula>
    </cfRule>
  </conditionalFormatting>
  <conditionalFormatting sqref="K46">
    <cfRule type="expression" dxfId="4458" priority="173">
      <formula>$C46&lt;$E$3</formula>
    </cfRule>
  </conditionalFormatting>
  <conditionalFormatting sqref="K46">
    <cfRule type="expression" dxfId="4457" priority="169">
      <formula>$C46=$E$3</formula>
    </cfRule>
    <cfRule type="expression" dxfId="4456" priority="170">
      <formula>$C46&lt;$E$3</formula>
    </cfRule>
    <cfRule type="cellIs" dxfId="4455" priority="171" operator="equal">
      <formula>0</formula>
    </cfRule>
    <cfRule type="expression" dxfId="4454" priority="172">
      <formula>$C46&gt;$E$3</formula>
    </cfRule>
  </conditionalFormatting>
  <conditionalFormatting sqref="K46">
    <cfRule type="expression" dxfId="4453" priority="168">
      <formula>$C46&lt;$E$3</formula>
    </cfRule>
  </conditionalFormatting>
  <conditionalFormatting sqref="K46">
    <cfRule type="expression" dxfId="4452" priority="164">
      <formula>$C46=$E$3</formula>
    </cfRule>
    <cfRule type="expression" dxfId="4451" priority="165">
      <formula>$C46&lt;$E$3</formula>
    </cfRule>
    <cfRule type="cellIs" dxfId="4450" priority="166" operator="equal">
      <formula>0</formula>
    </cfRule>
    <cfRule type="expression" dxfId="4449" priority="167">
      <formula>$C46&gt;$E$3</formula>
    </cfRule>
  </conditionalFormatting>
  <conditionalFormatting sqref="K46">
    <cfRule type="expression" dxfId="4448" priority="163">
      <formula>$C46&lt;$E$3</formula>
    </cfRule>
  </conditionalFormatting>
  <conditionalFormatting sqref="K46">
    <cfRule type="expression" dxfId="4447" priority="159">
      <formula>$C46=$E$3</formula>
    </cfRule>
    <cfRule type="expression" dxfId="4446" priority="160">
      <formula>$C46&lt;$E$3</formula>
    </cfRule>
    <cfRule type="cellIs" dxfId="4445" priority="161" operator="equal">
      <formula>0</formula>
    </cfRule>
    <cfRule type="expression" dxfId="4444" priority="162">
      <formula>$C46&gt;$E$3</formula>
    </cfRule>
  </conditionalFormatting>
  <conditionalFormatting sqref="K46">
    <cfRule type="expression" dxfId="4443" priority="158">
      <formula>$E46=""</formula>
    </cfRule>
  </conditionalFormatting>
  <conditionalFormatting sqref="K46">
    <cfRule type="expression" dxfId="4442" priority="157">
      <formula>$C46&lt;$E$3</formula>
    </cfRule>
  </conditionalFormatting>
  <conditionalFormatting sqref="K46">
    <cfRule type="expression" dxfId="4441" priority="156">
      <formula>$E46=""</formula>
    </cfRule>
  </conditionalFormatting>
  <conditionalFormatting sqref="K46">
    <cfRule type="expression" dxfId="4440" priority="155">
      <formula>$E46=""</formula>
    </cfRule>
  </conditionalFormatting>
  <conditionalFormatting sqref="K46">
    <cfRule type="expression" dxfId="4439" priority="154">
      <formula>$C46&lt;$E$3</formula>
    </cfRule>
  </conditionalFormatting>
  <conditionalFormatting sqref="K46">
    <cfRule type="expression" dxfId="4438" priority="153">
      <formula>$E46=""</formula>
    </cfRule>
  </conditionalFormatting>
  <conditionalFormatting sqref="K46">
    <cfRule type="expression" dxfId="4437" priority="152">
      <formula>$C46&lt;$E$3</formula>
    </cfRule>
  </conditionalFormatting>
  <conditionalFormatting sqref="K46">
    <cfRule type="expression" dxfId="4436" priority="151">
      <formula>$E46=""</formula>
    </cfRule>
  </conditionalFormatting>
  <conditionalFormatting sqref="K46">
    <cfRule type="expression" dxfId="4435" priority="150">
      <formula>$C46&lt;$E$3</formula>
    </cfRule>
  </conditionalFormatting>
  <conditionalFormatting sqref="K46">
    <cfRule type="expression" dxfId="4434" priority="149">
      <formula>$E46=""</formula>
    </cfRule>
  </conditionalFormatting>
  <conditionalFormatting sqref="K41:K45">
    <cfRule type="expression" dxfId="4433" priority="148">
      <formula>$C41&lt;$E$3</formula>
    </cfRule>
  </conditionalFormatting>
  <conditionalFormatting sqref="K41:K45">
    <cfRule type="expression" dxfId="4432" priority="144">
      <formula>$C41=$E$3</formula>
    </cfRule>
    <cfRule type="expression" dxfId="4431" priority="145">
      <formula>$C41&lt;$E$3</formula>
    </cfRule>
    <cfRule type="cellIs" dxfId="4430" priority="146" operator="equal">
      <formula>0</formula>
    </cfRule>
    <cfRule type="expression" dxfId="4429" priority="147">
      <formula>$C41&gt;$E$3</formula>
    </cfRule>
  </conditionalFormatting>
  <conditionalFormatting sqref="K41:K45">
    <cfRule type="expression" dxfId="4428" priority="143">
      <formula>$C41&lt;$E$3</formula>
    </cfRule>
  </conditionalFormatting>
  <conditionalFormatting sqref="K41:K45">
    <cfRule type="expression" dxfId="4427" priority="139">
      <formula>$C41=$E$3</formula>
    </cfRule>
    <cfRule type="expression" dxfId="4426" priority="140">
      <formula>$C41&lt;$E$3</formula>
    </cfRule>
    <cfRule type="cellIs" dxfId="4425" priority="141" operator="equal">
      <formula>0</formula>
    </cfRule>
    <cfRule type="expression" dxfId="4424" priority="142">
      <formula>$C41&gt;$E$3</formula>
    </cfRule>
  </conditionalFormatting>
  <conditionalFormatting sqref="K41:K45">
    <cfRule type="expression" dxfId="4423" priority="138">
      <formula>$C41&lt;$E$3</formula>
    </cfRule>
  </conditionalFormatting>
  <conditionalFormatting sqref="K41:K45">
    <cfRule type="expression" dxfId="4422" priority="134">
      <formula>$C41=$E$3</formula>
    </cfRule>
    <cfRule type="expression" dxfId="4421" priority="135">
      <formula>$C41&lt;$E$3</formula>
    </cfRule>
    <cfRule type="cellIs" dxfId="4420" priority="136" operator="equal">
      <formula>0</formula>
    </cfRule>
    <cfRule type="expression" dxfId="4419" priority="137">
      <formula>$C41&gt;$E$3</formula>
    </cfRule>
  </conditionalFormatting>
  <conditionalFormatting sqref="K41:K45">
    <cfRule type="expression" dxfId="4418" priority="133">
      <formula>$C41&lt;$E$3</formula>
    </cfRule>
  </conditionalFormatting>
  <conditionalFormatting sqref="K41:K45">
    <cfRule type="expression" dxfId="4417" priority="129">
      <formula>$C41=$E$3</formula>
    </cfRule>
    <cfRule type="expression" dxfId="4416" priority="130">
      <formula>$C41&lt;$E$3</formula>
    </cfRule>
    <cfRule type="cellIs" dxfId="4415" priority="131" operator="equal">
      <formula>0</formula>
    </cfRule>
    <cfRule type="expression" dxfId="4414" priority="132">
      <formula>$C41&gt;$E$3</formula>
    </cfRule>
  </conditionalFormatting>
  <conditionalFormatting sqref="K41:K45">
    <cfRule type="expression" dxfId="4413" priority="128">
      <formula>$E41=""</formula>
    </cfRule>
  </conditionalFormatting>
  <conditionalFormatting sqref="K41:K45">
    <cfRule type="expression" dxfId="4412" priority="127">
      <formula>$C41&lt;$E$3</formula>
    </cfRule>
  </conditionalFormatting>
  <conditionalFormatting sqref="K41:K45">
    <cfRule type="expression" dxfId="4411" priority="126">
      <formula>$E41=""</formula>
    </cfRule>
  </conditionalFormatting>
  <conditionalFormatting sqref="K41:K45">
    <cfRule type="expression" dxfId="4410" priority="125">
      <formula>$E41=""</formula>
    </cfRule>
  </conditionalFormatting>
  <conditionalFormatting sqref="K41:K45">
    <cfRule type="expression" dxfId="4409" priority="124">
      <formula>$C41&lt;$E$3</formula>
    </cfRule>
  </conditionalFormatting>
  <conditionalFormatting sqref="K41:K45">
    <cfRule type="expression" dxfId="4408" priority="123">
      <formula>$E41=""</formula>
    </cfRule>
  </conditionalFormatting>
  <conditionalFormatting sqref="K41:K45">
    <cfRule type="expression" dxfId="4407" priority="122">
      <formula>$C41&lt;$E$3</formula>
    </cfRule>
  </conditionalFormatting>
  <conditionalFormatting sqref="K41:K45">
    <cfRule type="expression" dxfId="4406" priority="121">
      <formula>$E41=""</formula>
    </cfRule>
  </conditionalFormatting>
  <conditionalFormatting sqref="K41:K45">
    <cfRule type="expression" dxfId="4405" priority="120">
      <formula>$C41&lt;$E$3</formula>
    </cfRule>
  </conditionalFormatting>
  <conditionalFormatting sqref="K41:K45">
    <cfRule type="expression" dxfId="4404" priority="119">
      <formula>$E41=""</formula>
    </cfRule>
  </conditionalFormatting>
  <conditionalFormatting sqref="K41:K45">
    <cfRule type="expression" dxfId="4403" priority="118">
      <formula>$C41&lt;$E$3</formula>
    </cfRule>
  </conditionalFormatting>
  <conditionalFormatting sqref="K41:K45">
    <cfRule type="expression" dxfId="4402" priority="114">
      <formula>$C41=$E$3</formula>
    </cfRule>
    <cfRule type="expression" dxfId="4401" priority="115">
      <formula>$C41&lt;$E$3</formula>
    </cfRule>
    <cfRule type="cellIs" dxfId="4400" priority="116" operator="equal">
      <formula>0</formula>
    </cfRule>
    <cfRule type="expression" dxfId="4399" priority="117">
      <formula>$C41&gt;$E$3</formula>
    </cfRule>
  </conditionalFormatting>
  <conditionalFormatting sqref="K41:K45">
    <cfRule type="expression" dxfId="4398" priority="113">
      <formula>$C41&lt;$E$3</formula>
    </cfRule>
  </conditionalFormatting>
  <conditionalFormatting sqref="K41:K45">
    <cfRule type="expression" dxfId="4397" priority="109">
      <formula>$C41=$E$3</formula>
    </cfRule>
    <cfRule type="expression" dxfId="4396" priority="110">
      <formula>$C41&lt;$E$3</formula>
    </cfRule>
    <cfRule type="cellIs" dxfId="4395" priority="111" operator="equal">
      <formula>0</formula>
    </cfRule>
    <cfRule type="expression" dxfId="4394" priority="112">
      <formula>$C41&gt;$E$3</formula>
    </cfRule>
  </conditionalFormatting>
  <conditionalFormatting sqref="K41:K45">
    <cfRule type="expression" dxfId="4393" priority="108">
      <formula>$C41&lt;$E$3</formula>
    </cfRule>
  </conditionalFormatting>
  <conditionalFormatting sqref="K41:K45">
    <cfRule type="expression" dxfId="4392" priority="104">
      <formula>$C41=$E$3</formula>
    </cfRule>
    <cfRule type="expression" dxfId="4391" priority="105">
      <formula>$C41&lt;$E$3</formula>
    </cfRule>
    <cfRule type="cellIs" dxfId="4390" priority="106" operator="equal">
      <formula>0</formula>
    </cfRule>
    <cfRule type="expression" dxfId="4389" priority="107">
      <formula>$C41&gt;$E$3</formula>
    </cfRule>
  </conditionalFormatting>
  <conditionalFormatting sqref="K41:K45">
    <cfRule type="expression" dxfId="4388" priority="103">
      <formula>$C41&lt;$E$3</formula>
    </cfRule>
  </conditionalFormatting>
  <conditionalFormatting sqref="K41:K45">
    <cfRule type="expression" dxfId="4387" priority="99">
      <formula>$C41=$E$3</formula>
    </cfRule>
    <cfRule type="expression" dxfId="4386" priority="100">
      <formula>$C41&lt;$E$3</formula>
    </cfRule>
    <cfRule type="cellIs" dxfId="4385" priority="101" operator="equal">
      <formula>0</formula>
    </cfRule>
    <cfRule type="expression" dxfId="4384" priority="102">
      <formula>$C41&gt;$E$3</formula>
    </cfRule>
  </conditionalFormatting>
  <conditionalFormatting sqref="K41:K45">
    <cfRule type="expression" dxfId="4383" priority="98">
      <formula>$E41=""</formula>
    </cfRule>
  </conditionalFormatting>
  <conditionalFormatting sqref="K41:K45">
    <cfRule type="expression" dxfId="4382" priority="97">
      <formula>$C41&lt;$E$3</formula>
    </cfRule>
  </conditionalFormatting>
  <conditionalFormatting sqref="K41:K45">
    <cfRule type="expression" dxfId="4381" priority="96">
      <formula>$E41=""</formula>
    </cfRule>
  </conditionalFormatting>
  <conditionalFormatting sqref="K41:K45">
    <cfRule type="expression" dxfId="4380" priority="95">
      <formula>$E41=""</formula>
    </cfRule>
  </conditionalFormatting>
  <conditionalFormatting sqref="K41:K45">
    <cfRule type="expression" dxfId="4379" priority="94">
      <formula>$C41&lt;$E$3</formula>
    </cfRule>
  </conditionalFormatting>
  <conditionalFormatting sqref="K41:K45">
    <cfRule type="expression" dxfId="4378" priority="93">
      <formula>$E41=""</formula>
    </cfRule>
  </conditionalFormatting>
  <conditionalFormatting sqref="K41:K45">
    <cfRule type="expression" dxfId="4377" priority="92">
      <formula>$C41&lt;$E$3</formula>
    </cfRule>
  </conditionalFormatting>
  <conditionalFormatting sqref="K41:K45">
    <cfRule type="expression" dxfId="4376" priority="91">
      <formula>$E41=""</formula>
    </cfRule>
  </conditionalFormatting>
  <conditionalFormatting sqref="K41:K45">
    <cfRule type="expression" dxfId="4375" priority="90">
      <formula>$C41&lt;$E$3</formula>
    </cfRule>
  </conditionalFormatting>
  <conditionalFormatting sqref="K41:K45">
    <cfRule type="expression" dxfId="4374" priority="89">
      <formula>$E41=""</formula>
    </cfRule>
  </conditionalFormatting>
  <conditionalFormatting sqref="K41:K47">
    <cfRule type="expression" dxfId="4373" priority="87">
      <formula>$C41&lt;$E$3</formula>
    </cfRule>
  </conditionalFormatting>
  <conditionalFormatting sqref="K41:K47">
    <cfRule type="expression" dxfId="4372" priority="84">
      <formula>$C41=$E$3</formula>
    </cfRule>
    <cfRule type="expression" dxfId="4371" priority="85">
      <formula>$C41&lt;$E$3</formula>
    </cfRule>
    <cfRule type="cellIs" dxfId="4370" priority="86" operator="equal">
      <formula>0</formula>
    </cfRule>
    <cfRule type="expression" dxfId="4369" priority="88">
      <formula>$C41&gt;$E$3</formula>
    </cfRule>
  </conditionalFormatting>
  <conditionalFormatting sqref="K41:K47">
    <cfRule type="expression" dxfId="4368" priority="83">
      <formula>$E41=""</formula>
    </cfRule>
  </conditionalFormatting>
  <conditionalFormatting sqref="K41:K47">
    <cfRule type="expression" dxfId="4367" priority="82">
      <formula>$E41=""</formula>
    </cfRule>
  </conditionalFormatting>
  <conditionalFormatting sqref="K41:K47">
    <cfRule type="expression" dxfId="4366" priority="81">
      <formula>$E41=""</formula>
    </cfRule>
  </conditionalFormatting>
  <conditionalFormatting sqref="K50:K51">
    <cfRule type="cellIs" dxfId="4365" priority="80" stopIfTrue="1" operator="lessThan">
      <formula>0</formula>
    </cfRule>
  </conditionalFormatting>
  <conditionalFormatting sqref="K50:K51">
    <cfRule type="expression" dxfId="4364" priority="78">
      <formula>$C50&lt;$E$3</formula>
    </cfRule>
  </conditionalFormatting>
  <conditionalFormatting sqref="K50:K51">
    <cfRule type="expression" dxfId="4363" priority="75">
      <formula>$C50=$E$3</formula>
    </cfRule>
    <cfRule type="expression" dxfId="4362" priority="76">
      <formula>$C50&lt;$E$3</formula>
    </cfRule>
    <cfRule type="cellIs" dxfId="4361" priority="77" operator="equal">
      <formula>0</formula>
    </cfRule>
    <cfRule type="expression" dxfId="4360" priority="79">
      <formula>$C50&gt;$E$3</formula>
    </cfRule>
  </conditionalFormatting>
  <conditionalFormatting sqref="K50:K51">
    <cfRule type="expression" dxfId="4359" priority="74">
      <formula>$E50=""</formula>
    </cfRule>
  </conditionalFormatting>
  <conditionalFormatting sqref="K50:K51">
    <cfRule type="expression" dxfId="4358" priority="73">
      <formula>$E50=""</formula>
    </cfRule>
  </conditionalFormatting>
  <conditionalFormatting sqref="K50:K51">
    <cfRule type="expression" dxfId="4357" priority="72">
      <formula>$E50=""</formula>
    </cfRule>
  </conditionalFormatting>
  <conditionalFormatting sqref="K50:K51">
    <cfRule type="expression" dxfId="4356" priority="71">
      <formula>$C50&lt;$E$3</formula>
    </cfRule>
  </conditionalFormatting>
  <conditionalFormatting sqref="K50:K51">
    <cfRule type="expression" dxfId="4355" priority="67">
      <formula>$C50=$E$3</formula>
    </cfRule>
    <cfRule type="expression" dxfId="4354" priority="68">
      <formula>$C50&lt;$E$3</formula>
    </cfRule>
    <cfRule type="cellIs" dxfId="4353" priority="69" operator="equal">
      <formula>0</formula>
    </cfRule>
    <cfRule type="expression" dxfId="4352" priority="70">
      <formula>$C50&gt;$E$3</formula>
    </cfRule>
  </conditionalFormatting>
  <conditionalFormatting sqref="K50:K51">
    <cfRule type="expression" dxfId="4351" priority="66">
      <formula>$C50&lt;$E$3</formula>
    </cfRule>
  </conditionalFormatting>
  <conditionalFormatting sqref="K50:K51">
    <cfRule type="expression" dxfId="4350" priority="62">
      <formula>$C50=$E$3</formula>
    </cfRule>
    <cfRule type="expression" dxfId="4349" priority="63">
      <formula>$C50&lt;$E$3</formula>
    </cfRule>
    <cfRule type="cellIs" dxfId="4348" priority="64" operator="equal">
      <formula>0</formula>
    </cfRule>
    <cfRule type="expression" dxfId="4347" priority="65">
      <formula>$C50&gt;$E$3</formula>
    </cfRule>
  </conditionalFormatting>
  <conditionalFormatting sqref="K50:K51">
    <cfRule type="expression" dxfId="4346" priority="61">
      <formula>$C50&lt;$E$3</formula>
    </cfRule>
  </conditionalFormatting>
  <conditionalFormatting sqref="K50:K51">
    <cfRule type="expression" dxfId="4345" priority="57">
      <formula>$C50=$E$3</formula>
    </cfRule>
    <cfRule type="expression" dxfId="4344" priority="58">
      <formula>$C50&lt;$E$3</formula>
    </cfRule>
    <cfRule type="cellIs" dxfId="4343" priority="59" operator="equal">
      <formula>0</formula>
    </cfRule>
    <cfRule type="expression" dxfId="4342" priority="60">
      <formula>$C50&gt;$E$3</formula>
    </cfRule>
  </conditionalFormatting>
  <conditionalFormatting sqref="K50:K51">
    <cfRule type="expression" dxfId="4341" priority="56">
      <formula>$C50&lt;$E$3</formula>
    </cfRule>
  </conditionalFormatting>
  <conditionalFormatting sqref="K50:K51">
    <cfRule type="expression" dxfId="4340" priority="52">
      <formula>$C50=$E$3</formula>
    </cfRule>
    <cfRule type="expression" dxfId="4339" priority="53">
      <formula>$C50&lt;$E$3</formula>
    </cfRule>
    <cfRule type="cellIs" dxfId="4338" priority="54" operator="equal">
      <formula>0</formula>
    </cfRule>
    <cfRule type="expression" dxfId="4337" priority="55">
      <formula>$C50&gt;$E$3</formula>
    </cfRule>
  </conditionalFormatting>
  <conditionalFormatting sqref="K50:K51">
    <cfRule type="expression" dxfId="4336" priority="50">
      <formula>$C50&lt;$E$3</formula>
    </cfRule>
  </conditionalFormatting>
  <conditionalFormatting sqref="K50:K51">
    <cfRule type="expression" dxfId="4335" priority="49">
      <formula>$E50=""</formula>
    </cfRule>
  </conditionalFormatting>
  <conditionalFormatting sqref="K50:K51">
    <cfRule type="expression" dxfId="4334" priority="48">
      <formula>$E50=""</formula>
    </cfRule>
  </conditionalFormatting>
  <conditionalFormatting sqref="K50:K51">
    <cfRule type="expression" dxfId="4333" priority="47">
      <formula>$C50&lt;$E$3</formula>
    </cfRule>
  </conditionalFormatting>
  <conditionalFormatting sqref="K50:K51">
    <cfRule type="expression" dxfId="4332" priority="46">
      <formula>$E50=""</formula>
    </cfRule>
  </conditionalFormatting>
  <conditionalFormatting sqref="K50:K51">
    <cfRule type="expression" dxfId="4331" priority="45">
      <formula>$C50&lt;$E$3</formula>
    </cfRule>
  </conditionalFormatting>
  <conditionalFormatting sqref="K50:K51">
    <cfRule type="expression" dxfId="4330" priority="44">
      <formula>$E50=""</formula>
    </cfRule>
  </conditionalFormatting>
  <conditionalFormatting sqref="K50:K51">
    <cfRule type="expression" dxfId="4329" priority="43">
      <formula>$C50&lt;$E$3</formula>
    </cfRule>
  </conditionalFormatting>
  <conditionalFormatting sqref="K50:K51">
    <cfRule type="expression" dxfId="4328" priority="42">
      <formula>$E50=""</formula>
    </cfRule>
  </conditionalFormatting>
  <conditionalFormatting sqref="K50:K51">
    <cfRule type="expression" dxfId="4327" priority="41">
      <formula>$C50&lt;$E$3</formula>
    </cfRule>
  </conditionalFormatting>
  <conditionalFormatting sqref="K50:K51">
    <cfRule type="expression" dxfId="4326" priority="37">
      <formula>$C50=$E$3</formula>
    </cfRule>
    <cfRule type="expression" dxfId="4325" priority="38">
      <formula>$C50&lt;$E$3</formula>
    </cfRule>
    <cfRule type="cellIs" dxfId="4324" priority="39" operator="equal">
      <formula>0</formula>
    </cfRule>
    <cfRule type="expression" dxfId="4323" priority="40">
      <formula>$C50&gt;$E$3</formula>
    </cfRule>
  </conditionalFormatting>
  <conditionalFormatting sqref="K50:K51">
    <cfRule type="expression" dxfId="4322" priority="36">
      <formula>$C50&lt;$E$3</formula>
    </cfRule>
  </conditionalFormatting>
  <conditionalFormatting sqref="K50:K51">
    <cfRule type="expression" dxfId="4321" priority="32">
      <formula>$C50=$E$3</formula>
    </cfRule>
    <cfRule type="expression" dxfId="4320" priority="33">
      <formula>$C50&lt;$E$3</formula>
    </cfRule>
    <cfRule type="cellIs" dxfId="4319" priority="34" operator="equal">
      <formula>0</formula>
    </cfRule>
    <cfRule type="expression" dxfId="4318" priority="35">
      <formula>$C50&gt;$E$3</formula>
    </cfRule>
  </conditionalFormatting>
  <conditionalFormatting sqref="K50:K51">
    <cfRule type="expression" dxfId="4317" priority="31">
      <formula>$C50&lt;$E$3</formula>
    </cfRule>
  </conditionalFormatting>
  <conditionalFormatting sqref="K50:K51">
    <cfRule type="expression" dxfId="4316" priority="27">
      <formula>$C50=$E$3</formula>
    </cfRule>
    <cfRule type="expression" dxfId="4315" priority="28">
      <formula>$C50&lt;$E$3</formula>
    </cfRule>
    <cfRule type="cellIs" dxfId="4314" priority="29" operator="equal">
      <formula>0</formula>
    </cfRule>
    <cfRule type="expression" dxfId="4313" priority="30">
      <formula>$C50&gt;$E$3</formula>
    </cfRule>
  </conditionalFormatting>
  <conditionalFormatting sqref="K50:K51">
    <cfRule type="expression" dxfId="4312" priority="26">
      <formula>$C50&lt;$E$3</formula>
    </cfRule>
  </conditionalFormatting>
  <conditionalFormatting sqref="K50:K51">
    <cfRule type="expression" dxfId="4311" priority="22">
      <formula>$C50=$E$3</formula>
    </cfRule>
    <cfRule type="expression" dxfId="4310" priority="23">
      <formula>$C50&lt;$E$3</formula>
    </cfRule>
    <cfRule type="cellIs" dxfId="4309" priority="24" operator="equal">
      <formula>0</formula>
    </cfRule>
    <cfRule type="expression" dxfId="4308" priority="25">
      <formula>$C50&gt;$E$3</formula>
    </cfRule>
  </conditionalFormatting>
  <conditionalFormatting sqref="K50:K51">
    <cfRule type="expression" dxfId="4307" priority="21">
      <formula>$E50=""</formula>
    </cfRule>
  </conditionalFormatting>
  <conditionalFormatting sqref="K50:K51">
    <cfRule type="expression" dxfId="4306" priority="20">
      <formula>$C50&lt;$E$3</formula>
    </cfRule>
  </conditionalFormatting>
  <conditionalFormatting sqref="K50:K51">
    <cfRule type="expression" dxfId="4305" priority="19">
      <formula>$E50=""</formula>
    </cfRule>
  </conditionalFormatting>
  <conditionalFormatting sqref="K50:K51">
    <cfRule type="expression" dxfId="4304" priority="18">
      <formula>$E50=""</formula>
    </cfRule>
  </conditionalFormatting>
  <conditionalFormatting sqref="K50:K51">
    <cfRule type="expression" dxfId="4303" priority="17">
      <formula>$C50&lt;$E$3</formula>
    </cfRule>
  </conditionalFormatting>
  <conditionalFormatting sqref="K50:K51">
    <cfRule type="expression" dxfId="4302" priority="16">
      <formula>$E50=""</formula>
    </cfRule>
  </conditionalFormatting>
  <conditionalFormatting sqref="K50:K51">
    <cfRule type="expression" dxfId="4301" priority="15">
      <formula>$C50&lt;$E$3</formula>
    </cfRule>
  </conditionalFormatting>
  <conditionalFormatting sqref="K50:K51">
    <cfRule type="expression" dxfId="4300" priority="14">
      <formula>$E50=""</formula>
    </cfRule>
  </conditionalFormatting>
  <conditionalFormatting sqref="K50:K51">
    <cfRule type="expression" dxfId="4299" priority="13">
      <formula>$C50&lt;$E$3</formula>
    </cfRule>
  </conditionalFormatting>
  <conditionalFormatting sqref="K50:K51">
    <cfRule type="expression" dxfId="4298" priority="12">
      <formula>$E50=""</formula>
    </cfRule>
  </conditionalFormatting>
  <conditionalFormatting sqref="K50:K51">
    <cfRule type="expression" dxfId="4297" priority="10">
      <formula>$C50&lt;$E$3</formula>
    </cfRule>
  </conditionalFormatting>
  <conditionalFormatting sqref="K50:K51">
    <cfRule type="expression" dxfId="4296" priority="7">
      <formula>$C50=$E$3</formula>
    </cfRule>
    <cfRule type="expression" dxfId="4295" priority="8">
      <formula>$C50&lt;$E$3</formula>
    </cfRule>
    <cfRule type="cellIs" dxfId="4294" priority="9" operator="equal">
      <formula>0</formula>
    </cfRule>
    <cfRule type="expression" dxfId="4293" priority="11">
      <formula>$C50&gt;$E$3</formula>
    </cfRule>
  </conditionalFormatting>
  <conditionalFormatting sqref="K50:K51">
    <cfRule type="expression" dxfId="4292" priority="6">
      <formula>$E50=""</formula>
    </cfRule>
  </conditionalFormatting>
  <conditionalFormatting sqref="K50:K51">
    <cfRule type="expression" dxfId="4291" priority="5">
      <formula>$E50=""</formula>
    </cfRule>
  </conditionalFormatting>
  <conditionalFormatting sqref="K50:K51">
    <cfRule type="expression" dxfId="4290" priority="4">
      <formula>$E50=""</formula>
    </cfRule>
  </conditionalFormatting>
  <conditionalFormatting sqref="V50:W51 V5:W20 V23:W29 V32:W38 V41:W47">
    <cfRule type="cellIs" dxfId="4289" priority="1" stopIfTrue="1" operator="lessThan">
      <formula>0</formula>
    </cfRule>
  </conditionalFormatting>
  <conditionalFormatting sqref="Q4:Q51 R5:R11 R14:R20 R23:R29 R32:R38 R41:R47 R50:R51 T50:U51 T41:U47 T32:U38 T23:U29 T14:U20 T5:U11">
    <cfRule type="cellIs" dxfId="4288" priority="2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MY STATS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Sheet1</vt:lpstr>
      <vt:lpstr>OCT</vt:lpstr>
      <vt:lpstr>NOV</vt:lpstr>
      <vt:lpstr>DEC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&amp; Neil</dc:creator>
  <cp:lastModifiedBy>DAVE</cp:lastModifiedBy>
  <cp:lastPrinted>2009-12-02T13:59:26Z</cp:lastPrinted>
  <dcterms:created xsi:type="dcterms:W3CDTF">2009-12-02T13:28:12Z</dcterms:created>
  <dcterms:modified xsi:type="dcterms:W3CDTF">2018-02-07T12:15:57Z</dcterms:modified>
</cp:coreProperties>
</file>